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2478E18D-2D07-4F68-9053-F826FC4679C8}" xr6:coauthVersionLast="47" xr6:coauthVersionMax="47" xr10:uidLastSave="{00000000-0000-0000-0000-000000000000}"/>
  <bookViews>
    <workbookView xWindow="-108" yWindow="-108" windowWidth="23256" windowHeight="13896" tabRatio="947" firstSheet="1"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5.2. CVA" sheetId="105" r:id="rId19"/>
    <sheet name="16. NSFR" sheetId="80" r:id="rId20"/>
    <sheet name=" 17. Residual Maturity" sheetId="95" r:id="rId21"/>
    <sheet name="18. Assets by Exposure classes" sheetId="96" r:id="rId22"/>
    <sheet name="19. Assets by Risk Sectors" sheetId="97" r:id="rId23"/>
    <sheet name="20. Reserves" sheetId="98" r:id="rId24"/>
    <sheet name="21. NPL" sheetId="99" r:id="rId25"/>
    <sheet name="22. Quality" sheetId="100" r:id="rId26"/>
    <sheet name="23. LTV" sheetId="101" r:id="rId27"/>
    <sheet name="24. Risk Sector" sheetId="102" r:id="rId28"/>
    <sheet name="25. Collateral" sheetId="103" r:id="rId29"/>
    <sheet name="26. Retail Products" sheetId="104" r:id="rId30"/>
    <sheet name="Instruction" sheetId="90" r:id="rId31"/>
  </sheets>
  <definedNames>
    <definedName name="_cur1">#REF!</definedName>
    <definedName name="_cur2">#REF!</definedName>
    <definedName name="_xlnm._FilterDatabase" localSheetId="30" hidden="1">Instruction!$A$108:$C$112</definedName>
    <definedName name="_sum1">#REF!</definedName>
    <definedName name="_sum2">#REF!</definedName>
    <definedName name="ACC_BALACC" localSheetId="20">#REF!</definedName>
    <definedName name="ACC_BALACC" localSheetId="18">#REF!</definedName>
    <definedName name="ACC_BALACC" localSheetId="2">#REF!</definedName>
    <definedName name="ACC_BALACC" localSheetId="24">#REF!</definedName>
    <definedName name="ACC_BALACC" localSheetId="25">#REF!</definedName>
    <definedName name="ACC_BALACC" localSheetId="26">#REF!</definedName>
    <definedName name="ACC_BALACC" localSheetId="27">#REF!</definedName>
    <definedName name="ACC_BALACC" localSheetId="3">#REF!</definedName>
    <definedName name="ACC_BALACC" localSheetId="4">#REF!</definedName>
    <definedName name="ACC_BALACC" localSheetId="10">#REF!</definedName>
    <definedName name="ACC_BALACC">#REF!</definedName>
    <definedName name="ACC_CRS" localSheetId="20">#REF!</definedName>
    <definedName name="ACC_CRS" localSheetId="18">#REF!</definedName>
    <definedName name="ACC_CRS" localSheetId="2">#REF!</definedName>
    <definedName name="ACC_CRS" localSheetId="24">#REF!</definedName>
    <definedName name="ACC_CRS" localSheetId="25">#REF!</definedName>
    <definedName name="ACC_CRS" localSheetId="26">#REF!</definedName>
    <definedName name="ACC_CRS" localSheetId="27">#REF!</definedName>
    <definedName name="ACC_CRS" localSheetId="3">#REF!</definedName>
    <definedName name="ACC_CRS" localSheetId="4">#REF!</definedName>
    <definedName name="ACC_CRS" localSheetId="10">#REF!</definedName>
    <definedName name="ACC_CRS">#REF!</definedName>
    <definedName name="ACC_DBS" localSheetId="20">#REF!</definedName>
    <definedName name="ACC_DBS" localSheetId="18">#REF!</definedName>
    <definedName name="ACC_DBS" localSheetId="2">#REF!</definedName>
    <definedName name="ACC_DBS" localSheetId="24">#REF!</definedName>
    <definedName name="ACC_DBS" localSheetId="25">#REF!</definedName>
    <definedName name="ACC_DBS" localSheetId="26">#REF!</definedName>
    <definedName name="ACC_DBS" localSheetId="27">#REF!</definedName>
    <definedName name="ACC_DBS" localSheetId="3">#REF!</definedName>
    <definedName name="ACC_DBS" localSheetId="4">#REF!</definedName>
    <definedName name="ACC_DBS" localSheetId="10">#REF!</definedName>
    <definedName name="ACC_DBS">#REF!</definedName>
    <definedName name="ACC_ISO" localSheetId="20">#REF!</definedName>
    <definedName name="ACC_ISO" localSheetId="18">#REF!</definedName>
    <definedName name="ACC_ISO" localSheetId="2">#REF!</definedName>
    <definedName name="ACC_ISO" localSheetId="24">#REF!</definedName>
    <definedName name="ACC_ISO" localSheetId="25">#REF!</definedName>
    <definedName name="ACC_ISO" localSheetId="26">#REF!</definedName>
    <definedName name="ACC_ISO" localSheetId="27">#REF!</definedName>
    <definedName name="ACC_ISO" localSheetId="3">#REF!</definedName>
    <definedName name="ACC_ISO" localSheetId="4">#REF!</definedName>
    <definedName name="ACC_ISO" localSheetId="10">#REF!</definedName>
    <definedName name="ACC_ISO">#REF!</definedName>
    <definedName name="ACC_SALDO" localSheetId="20">#REF!</definedName>
    <definedName name="ACC_SALDO" localSheetId="18">#REF!</definedName>
    <definedName name="ACC_SALDO" localSheetId="2">#REF!</definedName>
    <definedName name="ACC_SALDO" localSheetId="24">#REF!</definedName>
    <definedName name="ACC_SALDO" localSheetId="25">#REF!</definedName>
    <definedName name="ACC_SALDO" localSheetId="26">#REF!</definedName>
    <definedName name="ACC_SALDO" localSheetId="27">#REF!</definedName>
    <definedName name="ACC_SALDO" localSheetId="3">#REF!</definedName>
    <definedName name="ACC_SALDO" localSheetId="4">#REF!</definedName>
    <definedName name="ACC_SALDO" localSheetId="10">#REF!</definedName>
    <definedName name="ACC_SALDO">#REF!</definedName>
    <definedName name="BS_BALACC" localSheetId="20">#REF!</definedName>
    <definedName name="BS_BALACC" localSheetId="18">#REF!</definedName>
    <definedName name="BS_BALACC" localSheetId="2">#REF!</definedName>
    <definedName name="BS_BALACC" localSheetId="24">#REF!</definedName>
    <definedName name="BS_BALACC" localSheetId="25">#REF!</definedName>
    <definedName name="BS_BALACC" localSheetId="26">#REF!</definedName>
    <definedName name="BS_BALACC" localSheetId="27">#REF!</definedName>
    <definedName name="BS_BALACC" localSheetId="3">#REF!</definedName>
    <definedName name="BS_BALACC" localSheetId="4">#REF!</definedName>
    <definedName name="BS_BALACC" localSheetId="10">#REF!</definedName>
    <definedName name="BS_BALACC">#REF!</definedName>
    <definedName name="BS_BALANCE" localSheetId="20">#REF!</definedName>
    <definedName name="BS_BALANCE" localSheetId="18">#REF!</definedName>
    <definedName name="BS_BALANCE" localSheetId="2">#REF!</definedName>
    <definedName name="BS_BALANCE" localSheetId="24">#REF!</definedName>
    <definedName name="BS_BALANCE" localSheetId="25">#REF!</definedName>
    <definedName name="BS_BALANCE" localSheetId="26">#REF!</definedName>
    <definedName name="BS_BALANCE" localSheetId="27">#REF!</definedName>
    <definedName name="BS_BALANCE" localSheetId="3">#REF!</definedName>
    <definedName name="BS_BALANCE" localSheetId="4">#REF!</definedName>
    <definedName name="BS_BALANCE" localSheetId="10">#REF!</definedName>
    <definedName name="BS_BALANCE">#REF!</definedName>
    <definedName name="BS_CR" localSheetId="20">#REF!</definedName>
    <definedName name="BS_CR" localSheetId="18">#REF!</definedName>
    <definedName name="BS_CR" localSheetId="2">#REF!</definedName>
    <definedName name="BS_CR" localSheetId="24">#REF!</definedName>
    <definedName name="BS_CR" localSheetId="25">#REF!</definedName>
    <definedName name="BS_CR" localSheetId="26">#REF!</definedName>
    <definedName name="BS_CR" localSheetId="27">#REF!</definedName>
    <definedName name="BS_CR" localSheetId="3">#REF!</definedName>
    <definedName name="BS_CR" localSheetId="4">#REF!</definedName>
    <definedName name="BS_CR" localSheetId="10">#REF!</definedName>
    <definedName name="BS_CR">#REF!</definedName>
    <definedName name="BS_CR_EQU" localSheetId="20">#REF!</definedName>
    <definedName name="BS_CR_EQU" localSheetId="18">#REF!</definedName>
    <definedName name="BS_CR_EQU" localSheetId="2">#REF!</definedName>
    <definedName name="BS_CR_EQU" localSheetId="24">#REF!</definedName>
    <definedName name="BS_CR_EQU" localSheetId="25">#REF!</definedName>
    <definedName name="BS_CR_EQU" localSheetId="26">#REF!</definedName>
    <definedName name="BS_CR_EQU" localSheetId="27">#REF!</definedName>
    <definedName name="BS_CR_EQU" localSheetId="3">#REF!</definedName>
    <definedName name="BS_CR_EQU" localSheetId="4">#REF!</definedName>
    <definedName name="BS_CR_EQU" localSheetId="10">#REF!</definedName>
    <definedName name="BS_CR_EQU">#REF!</definedName>
    <definedName name="BS_DB" localSheetId="20">#REF!</definedName>
    <definedName name="BS_DB" localSheetId="18">#REF!</definedName>
    <definedName name="BS_DB" localSheetId="2">#REF!</definedName>
    <definedName name="BS_DB" localSheetId="24">#REF!</definedName>
    <definedName name="BS_DB" localSheetId="25">#REF!</definedName>
    <definedName name="BS_DB" localSheetId="26">#REF!</definedName>
    <definedName name="BS_DB" localSheetId="27">#REF!</definedName>
    <definedName name="BS_DB" localSheetId="3">#REF!</definedName>
    <definedName name="BS_DB" localSheetId="4">#REF!</definedName>
    <definedName name="BS_DB" localSheetId="10">#REF!</definedName>
    <definedName name="BS_DB">#REF!</definedName>
    <definedName name="BS_DB_EQU" localSheetId="20">#REF!</definedName>
    <definedName name="BS_DB_EQU" localSheetId="18">#REF!</definedName>
    <definedName name="BS_DB_EQU" localSheetId="2">#REF!</definedName>
    <definedName name="BS_DB_EQU" localSheetId="24">#REF!</definedName>
    <definedName name="BS_DB_EQU" localSheetId="25">#REF!</definedName>
    <definedName name="BS_DB_EQU" localSheetId="26">#REF!</definedName>
    <definedName name="BS_DB_EQU" localSheetId="27">#REF!</definedName>
    <definedName name="BS_DB_EQU" localSheetId="3">#REF!</definedName>
    <definedName name="BS_DB_EQU" localSheetId="4">#REF!</definedName>
    <definedName name="BS_DB_EQU" localSheetId="10">#REF!</definedName>
    <definedName name="BS_DB_EQU">#REF!</definedName>
    <definedName name="BS_DT" localSheetId="20">#REF!</definedName>
    <definedName name="BS_DT" localSheetId="18">#REF!</definedName>
    <definedName name="BS_DT" localSheetId="2">#REF!</definedName>
    <definedName name="BS_DT" localSheetId="24">#REF!</definedName>
    <definedName name="BS_DT" localSheetId="25">#REF!</definedName>
    <definedName name="BS_DT" localSheetId="26">#REF!</definedName>
    <definedName name="BS_DT" localSheetId="27">#REF!</definedName>
    <definedName name="BS_DT" localSheetId="3">#REF!</definedName>
    <definedName name="BS_DT" localSheetId="4">#REF!</definedName>
    <definedName name="BS_DT" localSheetId="10">#REF!</definedName>
    <definedName name="BS_DT">#REF!</definedName>
    <definedName name="BS_ISO" localSheetId="20">#REF!</definedName>
    <definedName name="BS_ISO" localSheetId="18">#REF!</definedName>
    <definedName name="BS_ISO" localSheetId="2">#REF!</definedName>
    <definedName name="BS_ISO" localSheetId="24">#REF!</definedName>
    <definedName name="BS_ISO" localSheetId="25">#REF!</definedName>
    <definedName name="BS_ISO" localSheetId="26">#REF!</definedName>
    <definedName name="BS_ISO" localSheetId="27">#REF!</definedName>
    <definedName name="BS_ISO" localSheetId="3">#REF!</definedName>
    <definedName name="BS_ISO" localSheetId="4">#REF!</definedName>
    <definedName name="BS_ISO" localSheetId="10">#REF!</definedName>
    <definedName name="BS_ISO">#REF!</definedName>
    <definedName name="CurrentDate" localSheetId="20">#REF!</definedName>
    <definedName name="CurrentDate" localSheetId="18">#REF!</definedName>
    <definedName name="CurrentDate" localSheetId="2">#REF!</definedName>
    <definedName name="CurrentDate" localSheetId="24">#REF!</definedName>
    <definedName name="CurrentDate" localSheetId="25">#REF!</definedName>
    <definedName name="CurrentDate" localSheetId="26">#REF!</definedName>
    <definedName name="CurrentDate" localSheetId="27">#REF!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7" l="1"/>
  <c r="F18" i="37"/>
  <c r="E18" i="37"/>
  <c r="D18" i="37"/>
  <c r="C18" i="37"/>
  <c r="E10" i="72" l="1"/>
  <c r="G26" i="80" l="1"/>
  <c r="G14" i="80"/>
  <c r="F14" i="80"/>
  <c r="E14" i="80"/>
  <c r="D14" i="80"/>
  <c r="C14" i="80"/>
  <c r="C18" i="80"/>
  <c r="D18" i="80"/>
  <c r="E18" i="80"/>
  <c r="F18" i="80"/>
  <c r="G27" i="80" l="1"/>
  <c r="G16" i="80"/>
  <c r="F6" i="105" l="1"/>
  <c r="E6" i="105"/>
  <c r="D6" i="105"/>
  <c r="C6" i="105"/>
  <c r="G9" i="37" l="1"/>
  <c r="F9" i="37"/>
  <c r="E9" i="37"/>
  <c r="D9" i="37"/>
  <c r="G8" i="37"/>
  <c r="F8" i="37"/>
  <c r="E8" i="37"/>
  <c r="D8" i="37"/>
  <c r="G7" i="37"/>
  <c r="G6" i="37" s="1"/>
  <c r="F7" i="37"/>
  <c r="F6" i="37" s="1"/>
  <c r="E7" i="37"/>
  <c r="E6" i="37" s="1"/>
  <c r="D7" i="37"/>
  <c r="D6" i="37" s="1"/>
  <c r="Q19" i="37"/>
  <c r="E36" i="72" l="1"/>
  <c r="E29" i="72"/>
  <c r="E27" i="72"/>
  <c r="E24" i="72"/>
  <c r="E21" i="72"/>
  <c r="E19" i="72"/>
  <c r="E18" i="72"/>
  <c r="E17" i="72"/>
  <c r="E15" i="72"/>
  <c r="E14" i="72"/>
  <c r="E13" i="72"/>
  <c r="E12" i="72"/>
  <c r="L33" i="102" l="1"/>
  <c r="K33" i="102"/>
  <c r="J33" i="102"/>
  <c r="I33" i="102"/>
  <c r="G33" i="102"/>
  <c r="F33" i="102"/>
  <c r="E33" i="102"/>
  <c r="D33" i="102"/>
  <c r="C33" i="102" l="1"/>
  <c r="H33" i="102"/>
  <c r="AA8" i="100" l="1"/>
  <c r="Z8" i="100"/>
  <c r="Y8" i="100"/>
  <c r="X8" i="100"/>
  <c r="W8" i="100"/>
  <c r="V8" i="100"/>
  <c r="U8" i="100"/>
  <c r="T8" i="100"/>
  <c r="S8" i="100"/>
  <c r="R8" i="100"/>
  <c r="Q8" i="100"/>
  <c r="P8" i="100"/>
  <c r="O8" i="100"/>
  <c r="N8" i="100"/>
  <c r="M8" i="100"/>
  <c r="L8" i="100"/>
  <c r="K8" i="100"/>
  <c r="J8" i="100"/>
  <c r="I8" i="100"/>
  <c r="H8" i="100"/>
  <c r="G8" i="100"/>
  <c r="F8" i="100"/>
  <c r="E8" i="100"/>
  <c r="D8" i="100"/>
  <c r="T22" i="100"/>
  <c r="L22" i="100"/>
  <c r="H22" i="100"/>
  <c r="D22" i="100"/>
  <c r="C28" i="100"/>
  <c r="C22" i="74"/>
  <c r="C8" i="100" l="1"/>
  <c r="C27" i="100"/>
  <c r="C26" i="100" l="1"/>
  <c r="C25" i="100" l="1"/>
  <c r="C24" i="100" l="1"/>
  <c r="C23" i="100" l="1"/>
  <c r="C22" i="100" s="1"/>
  <c r="G34" i="80" l="1"/>
  <c r="G24" i="80"/>
  <c r="G20" i="80"/>
  <c r="G19" i="80"/>
  <c r="G18" i="80" s="1"/>
  <c r="G17" i="80"/>
  <c r="G15" i="80"/>
  <c r="G13" i="80"/>
  <c r="G12" i="80"/>
  <c r="G11" i="80" s="1"/>
  <c r="G10" i="80"/>
  <c r="G9" i="80"/>
  <c r="G8" i="80" l="1"/>
  <c r="G33" i="80"/>
  <c r="G21" i="80"/>
  <c r="J23" i="36" l="1"/>
  <c r="I23" i="36"/>
  <c r="G23" i="36"/>
  <c r="F23" i="36"/>
  <c r="J21" i="36"/>
  <c r="I21" i="36"/>
  <c r="H21" i="36"/>
  <c r="G21" i="36"/>
  <c r="F21" i="36"/>
  <c r="D21" i="36"/>
  <c r="C21" i="36"/>
  <c r="K20" i="36"/>
  <c r="K19" i="36"/>
  <c r="K21" i="36" s="1"/>
  <c r="K18" i="36"/>
  <c r="H20" i="36"/>
  <c r="H19" i="36"/>
  <c r="H18" i="36"/>
  <c r="E20" i="36"/>
  <c r="E19" i="36"/>
  <c r="E18" i="36"/>
  <c r="H8" i="36"/>
  <c r="K8" i="36"/>
  <c r="K15" i="36"/>
  <c r="K14" i="36"/>
  <c r="K13" i="36"/>
  <c r="K12" i="36"/>
  <c r="K11" i="36"/>
  <c r="K10" i="36"/>
  <c r="H15" i="36"/>
  <c r="H14" i="36"/>
  <c r="H13" i="36"/>
  <c r="H12" i="36"/>
  <c r="H11" i="36"/>
  <c r="H10" i="36"/>
  <c r="J16" i="36"/>
  <c r="I16" i="36"/>
  <c r="G16" i="36"/>
  <c r="F16" i="36"/>
  <c r="D16" i="36"/>
  <c r="C16" i="36"/>
  <c r="E15" i="36"/>
  <c r="E14" i="36"/>
  <c r="E13" i="36"/>
  <c r="E12" i="36"/>
  <c r="E11" i="36"/>
  <c r="E10" i="36"/>
  <c r="E21" i="36" l="1"/>
  <c r="K16" i="36"/>
  <c r="K24" i="36" s="1"/>
  <c r="H16" i="36"/>
  <c r="H24" i="36" s="1"/>
  <c r="I24" i="36"/>
  <c r="J24" i="36"/>
  <c r="J25" i="36" s="1"/>
  <c r="F24" i="36"/>
  <c r="F25" i="36" s="1"/>
  <c r="G24" i="36"/>
  <c r="G25" i="36" s="1"/>
  <c r="I25" i="36"/>
  <c r="E16" i="36"/>
  <c r="K23" i="36"/>
  <c r="K25" i="36" s="1"/>
  <c r="H23" i="36"/>
  <c r="H25" i="36" s="1"/>
  <c r="B2" i="105" l="1"/>
  <c r="B1" i="105"/>
  <c r="Q33" i="37" l="1"/>
  <c r="Q32" i="37"/>
  <c r="Q31" i="37"/>
  <c r="Q29" i="37"/>
  <c r="Q28" i="37"/>
  <c r="Q27" i="37"/>
  <c r="Q25" i="37"/>
  <c r="Q24" i="37"/>
  <c r="Q23" i="37"/>
  <c r="Q22" i="37" s="1"/>
  <c r="Q21" i="37"/>
  <c r="Q20" i="37"/>
  <c r="Q17" i="37"/>
  <c r="Q16" i="37"/>
  <c r="Q15" i="37"/>
  <c r="Q12" i="37"/>
  <c r="Q13" i="37"/>
  <c r="Q11" i="37"/>
  <c r="I33" i="37"/>
  <c r="I32" i="37"/>
  <c r="I31" i="37"/>
  <c r="I30" i="37"/>
  <c r="I29" i="37"/>
  <c r="I28" i="37"/>
  <c r="I27" i="37"/>
  <c r="I26" i="37"/>
  <c r="I25" i="37"/>
  <c r="I24" i="37"/>
  <c r="I23" i="37"/>
  <c r="I22" i="37"/>
  <c r="I21" i="37"/>
  <c r="I20" i="37"/>
  <c r="I19" i="37"/>
  <c r="I18" i="37"/>
  <c r="I17" i="37"/>
  <c r="I16" i="37"/>
  <c r="I15" i="37"/>
  <c r="I14" i="37"/>
  <c r="I13" i="37"/>
  <c r="I12" i="37"/>
  <c r="I11" i="37"/>
  <c r="I10" i="37"/>
  <c r="P9" i="37"/>
  <c r="O9" i="37"/>
  <c r="N9" i="37"/>
  <c r="M9" i="37"/>
  <c r="L9" i="37"/>
  <c r="K9" i="37"/>
  <c r="J9" i="37"/>
  <c r="I9" i="37"/>
  <c r="C9" i="37"/>
  <c r="P8" i="37"/>
  <c r="O8" i="37"/>
  <c r="N8" i="37"/>
  <c r="M8" i="37"/>
  <c r="L8" i="37"/>
  <c r="K8" i="37"/>
  <c r="J8" i="37"/>
  <c r="I8" i="37"/>
  <c r="C8" i="37"/>
  <c r="P7" i="37"/>
  <c r="O7" i="37"/>
  <c r="O6" i="37" s="1"/>
  <c r="N7" i="37"/>
  <c r="M7" i="37"/>
  <c r="L7" i="37"/>
  <c r="L6" i="37" s="1"/>
  <c r="K7" i="37"/>
  <c r="K6" i="37" s="1"/>
  <c r="J7" i="37"/>
  <c r="J6" i="37" s="1"/>
  <c r="C7" i="37"/>
  <c r="C6" i="37" s="1"/>
  <c r="E34" i="37"/>
  <c r="D34" i="37"/>
  <c r="Q26" i="37" l="1"/>
  <c r="P6" i="37"/>
  <c r="N6" i="37"/>
  <c r="N34" i="37" s="1"/>
  <c r="Q10" i="37"/>
  <c r="M6" i="37"/>
  <c r="M34" i="37" s="1"/>
  <c r="G34" i="37"/>
  <c r="Q18" i="37"/>
  <c r="Q14" i="37"/>
  <c r="J34" i="37"/>
  <c r="Q30" i="37"/>
  <c r="L34" i="37"/>
  <c r="F34" i="37"/>
  <c r="O34" i="37"/>
  <c r="P34" i="37"/>
  <c r="K34" i="37"/>
  <c r="Q8" i="37"/>
  <c r="C34" i="37"/>
  <c r="I7" i="37"/>
  <c r="I6" i="37" s="1"/>
  <c r="Q7" i="37"/>
  <c r="Q9" i="37"/>
  <c r="I34" i="37" l="1"/>
  <c r="Q6" i="37"/>
  <c r="Q34" i="37" s="1"/>
  <c r="E5" i="6"/>
  <c r="F5" i="6"/>
  <c r="G5" i="6"/>
  <c r="G38" i="94" l="1"/>
  <c r="F38" i="94"/>
  <c r="C38" i="94"/>
  <c r="D38" i="94" l="1"/>
  <c r="C22" i="95" l="1"/>
  <c r="H21" i="95"/>
  <c r="B1" i="94" l="1"/>
  <c r="B1" i="93"/>
  <c r="B1" i="92"/>
  <c r="B1" i="104" l="1"/>
  <c r="B1" i="103"/>
  <c r="B1" i="102"/>
  <c r="B1" i="101"/>
  <c r="B1" i="100"/>
  <c r="B1" i="99"/>
  <c r="B1" i="98"/>
  <c r="B1" i="97"/>
  <c r="B1" i="96"/>
  <c r="B1" i="95"/>
  <c r="C7" i="98" l="1"/>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H22" i="96"/>
  <c r="H23" i="96"/>
  <c r="H8" i="95"/>
  <c r="H9" i="95"/>
  <c r="H10" i="95"/>
  <c r="H11" i="95"/>
  <c r="H12" i="95"/>
  <c r="H13" i="95"/>
  <c r="H14" i="95"/>
  <c r="H15" i="95"/>
  <c r="H16" i="95"/>
  <c r="H17" i="95"/>
  <c r="H18" i="95"/>
  <c r="H19" i="95"/>
  <c r="H20" i="95"/>
  <c r="D22" i="95"/>
  <c r="E22" i="95"/>
  <c r="F22" i="95"/>
  <c r="G22" i="95"/>
  <c r="C18" i="99" l="1"/>
  <c r="C15" i="98"/>
  <c r="D15" i="98"/>
  <c r="H22" i="95"/>
  <c r="H34" i="97"/>
  <c r="H21" i="96"/>
  <c r="E16" i="72"/>
  <c r="H43" i="94" l="1"/>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H42" i="93"/>
  <c r="H41" i="93"/>
  <c r="H40" i="93"/>
  <c r="H39" i="93"/>
  <c r="H38" i="93"/>
  <c r="G37" i="93"/>
  <c r="F37" i="93"/>
  <c r="H37" i="93" s="1"/>
  <c r="H36" i="93"/>
  <c r="H35" i="93"/>
  <c r="G34" i="93"/>
  <c r="F34" i="93"/>
  <c r="H33" i="93"/>
  <c r="H32" i="93"/>
  <c r="H31" i="93"/>
  <c r="H30" i="93"/>
  <c r="G29" i="93"/>
  <c r="F29" i="93"/>
  <c r="H28" i="93"/>
  <c r="H27" i="93"/>
  <c r="H26" i="93"/>
  <c r="H25" i="93"/>
  <c r="H24" i="93"/>
  <c r="H23" i="93"/>
  <c r="H22" i="93"/>
  <c r="H21" i="93"/>
  <c r="H20" i="93"/>
  <c r="H19" i="93"/>
  <c r="H18" i="93"/>
  <c r="H17" i="93"/>
  <c r="H16" i="93"/>
  <c r="H15" i="93"/>
  <c r="H14" i="93"/>
  <c r="G13" i="93"/>
  <c r="F13" i="93"/>
  <c r="H13" i="93" s="1"/>
  <c r="H12" i="93"/>
  <c r="H11" i="93"/>
  <c r="H10" i="93"/>
  <c r="H9" i="93"/>
  <c r="H8" i="93"/>
  <c r="H7" i="93"/>
  <c r="G6" i="93"/>
  <c r="F6" i="93"/>
  <c r="E35" i="72" l="1"/>
  <c r="E34" i="72"/>
  <c r="E33" i="72"/>
  <c r="E11" i="72"/>
  <c r="F43" i="93"/>
  <c r="F45" i="93" s="1"/>
  <c r="H45" i="93" s="1"/>
  <c r="G43" i="93"/>
  <c r="G45" i="93" s="1"/>
  <c r="H29" i="93"/>
  <c r="H34" i="93"/>
  <c r="H8" i="94"/>
  <c r="E8" i="94"/>
  <c r="E14" i="94"/>
  <c r="H38" i="94"/>
  <c r="E30" i="94"/>
  <c r="E11" i="94"/>
  <c r="E17" i="94"/>
  <c r="H11" i="94"/>
  <c r="H14" i="94"/>
  <c r="H6" i="93"/>
  <c r="E23" i="72" l="1"/>
  <c r="E32" i="72"/>
  <c r="E31" i="72" s="1"/>
  <c r="D37" i="72"/>
  <c r="E26" i="72"/>
  <c r="E25" i="72" s="1"/>
  <c r="E22" i="72"/>
  <c r="E20" i="72" s="1"/>
  <c r="E9" i="72"/>
  <c r="E8" i="72" s="1"/>
  <c r="H43" i="93"/>
  <c r="E30" i="72" l="1"/>
  <c r="E28" i="72" s="1"/>
  <c r="E37" i="72" s="1"/>
  <c r="C37" i="72"/>
  <c r="B1" i="80"/>
  <c r="F33" i="80"/>
  <c r="E33" i="80"/>
  <c r="D33" i="80"/>
  <c r="C33" i="80"/>
  <c r="G37" i="80"/>
  <c r="F24" i="80"/>
  <c r="E24" i="80"/>
  <c r="D24" i="80"/>
  <c r="C24" i="80"/>
  <c r="F11" i="80"/>
  <c r="E11" i="80"/>
  <c r="D11" i="80"/>
  <c r="C11" i="80"/>
  <c r="F8" i="80"/>
  <c r="E8" i="80"/>
  <c r="D8" i="80"/>
  <c r="C8" i="80"/>
  <c r="G39" i="80" l="1"/>
  <c r="B1" i="79" l="1"/>
  <c r="B1" i="37"/>
  <c r="B1" i="36"/>
  <c r="B1" i="74"/>
  <c r="B1" i="64"/>
  <c r="B1" i="35"/>
  <c r="B1" i="69"/>
  <c r="B1" i="77"/>
  <c r="B1" i="28"/>
  <c r="B1" i="73"/>
  <c r="B1" i="72"/>
  <c r="B1" i="52"/>
  <c r="B1" i="71"/>
  <c r="B1" i="6"/>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l="1"/>
  <c r="C13" i="73"/>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B2" i="71"/>
  <c r="G5" i="71" s="1"/>
  <c r="D5" i="6"/>
  <c r="C5" i="71" l="1"/>
  <c r="E5" i="71"/>
  <c r="F5" i="71"/>
  <c r="D5" i="71"/>
  <c r="C34" i="7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0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<sst xmlns="http://schemas.openxmlformats.org/spreadsheetml/2006/main" count="1609" uniqueCount="1004">
  <si>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</si>
  <si>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</si>
  <si>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</si>
  <si>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</si>
  <si>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</si>
  <si>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</si>
  <si>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</si>
  <si>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</si>
  <si>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</si>
  <si>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</si>
  <si>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</si>
  <si>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</si>
  <si>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</si>
  <si>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</si>
  <si>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</si>
  <si>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</si>
  <si>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</si>
  <si>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</si>
  <si>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</si>
  <si>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</si>
  <si>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</si>
  <si>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</si>
  <si>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</si>
  <si>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</si>
  <si>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</si>
  <si>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</si>
  <si>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</si>
  <si>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</si>
  <si>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</si>
  <si>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</si>
  <si>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</si>
  <si>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</si>
  <si>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</si>
  <si>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</si>
  <si>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</si>
  <si>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</si>
  <si>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</si>
  <si>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</si>
  <si>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</si>
  <si>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</si>
  <si>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</si>
  <si>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აქციების ფლობა და სხვა სახით 10%–ზე მეტი წილის ფლობა კომერციული დაწესებულებების სააქციო კაპიტალში</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</si>
  <si>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</si>
  <si>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</si>
  <si>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</si>
  <si>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</si>
  <si>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</si>
  <si>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</si>
  <si>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</si>
  <si>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</si>
  <si>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</si>
  <si>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</si>
  <si>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</si>
  <si>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</si>
  <si>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</si>
  <si>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</si>
  <si>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</si>
  <si>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</si>
  <si>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</si>
  <si>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</si>
  <si>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</si>
  <si>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</si>
  <si>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</si>
  <si>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</si>
  <si>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</si>
  <si>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</si>
  <si>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</si>
  <si>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</si>
  <si>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</si>
  <si>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</si>
  <si>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</si>
  <si>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</si>
  <si>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</si>
  <si>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</si>
  <si>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</si>
  <si>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</si>
  <si>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</si>
  <si>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</si>
  <si>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</si>
  <si>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</si>
  <si>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</si>
  <si>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</si>
  <si>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</si>
  <si>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</si>
  <si>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</si>
  <si>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</si>
  <si>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</si>
  <si>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</si>
  <si>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</si>
  <si>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</si>
  <si>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</si>
  <si>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</si>
  <si>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</si>
  <si>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</si>
  <si>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</si>
  <si>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</si>
  <si>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</si>
  <si>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</si>
  <si>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</si>
  <si>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</si>
  <si>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</si>
  <si>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</si>
  <si>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</si>
  <si>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</si>
  <si>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</si>
  <si>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</si>
  <si>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</si>
  <si>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</si>
  <si>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</si>
  <si>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</si>
  <si>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</si>
  <si>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</si>
  <si>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</si>
  <si>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</si>
  <si>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</si>
  <si>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</si>
  <si>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</si>
  <si>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</si>
  <si>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</si>
  <si>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</si>
  <si>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</si>
  <si>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</si>
  <si>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</si>
  <si>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</si>
  <si>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</si>
  <si>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</si>
  <si>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</si>
  <si>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</si>
  <si>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</si>
  <si>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</si>
  <si>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</si>
  <si>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</si>
  <si>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</si>
  <si>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</si>
  <si>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</si>
  <si>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</si>
  <si>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</si>
  <si>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</si>
  <si>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</si>
  <si>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</si>
  <si>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</si>
  <si>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</si>
  <si>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</si>
  <si>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</si>
  <si>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</si>
  <si>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</si>
  <si>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</si>
  <si>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</si>
  <si>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</si>
  <si>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</si>
  <si>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</si>
  <si>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</si>
  <si>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</si>
  <si>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</si>
  <si>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</si>
  <si>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</si>
  <si>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</si>
  <si>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</si>
  <si>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</si>
  <si>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</si>
  <si>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</si>
  <si>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</si>
  <si>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</si>
  <si>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</si>
  <si>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</si>
  <si>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</si>
  <si>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</si>
  <si>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</si>
  <si>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</si>
  <si>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</si>
  <si>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</si>
  <si>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</si>
  <si>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</si>
  <si>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</si>
  <si>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</si>
  <si>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</si>
  <si>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</si>
  <si>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</si>
  <si>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</si>
  <si>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</si>
  <si>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</si>
  <si>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</si>
  <si>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</si>
  <si>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</si>
  <si>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</si>
  <si>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</si>
  <si>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</si>
  <si>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</si>
  <si>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</si>
  <si>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</si>
  <si>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</si>
  <si>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</si>
  <si>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</si>
  <si>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</si>
  <si>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</si>
  <si>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</si>
  <si>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</si>
  <si>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</si>
  <si>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</si>
  <si>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</si>
  <si>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</si>
  <si>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</si>
  <si>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</si>
  <si>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</si>
  <si>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</si>
  <si>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</si>
  <si>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</si>
  <si>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</si>
  <si>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</si>
  <si>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</si>
  <si>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</si>
  <si>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</si>
  <si>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</si>
  <si>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</si>
  <si>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</si>
  <si>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</si>
  <si>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</si>
  <si>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</si>
  <si>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</si>
  <si>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</si>
  <si>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</si>
  <si>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</si>
  <si>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</si>
  <si>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</si>
  <si>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</si>
  <si>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</si>
  <si>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</si>
  <si>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</si>
  <si>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</si>
  <si>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</si>
  <si>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</si>
  <si>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</si>
  <si>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</si>
  <si>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</si>
  <si>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</si>
  <si>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</si>
  <si>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</si>
  <si>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</si>
  <si>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</si>
  <si>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</si>
  <si>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</si>
  <si>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</si>
  <si>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</si>
  <si>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</si>
  <si>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</si>
  <si>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</si>
  <si>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</si>
  <si>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</si>
  <si>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</si>
  <si>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</si>
  <si>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</si>
  <si>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</si>
  <si>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</si>
  <si>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</si>
  <si>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</si>
  <si>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</si>
  <si>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</si>
  <si>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</si>
  <si>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</si>
  <si>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</si>
  <si>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</si>
  <si>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</si>
  <si>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</si>
  <si>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</si>
  <si>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</si>
  <si>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</si>
  <si>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</si>
  <si>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</si>
  <si>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</si>
  <si>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</si>
  <si>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</si>
  <si>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</si>
  <si>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</si>
  <si>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</si>
  <si>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</si>
  <si>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</si>
  <si>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</si>
  <si>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</si>
  <si>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</si>
  <si>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</si>
  <si>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</si>
  <si>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</si>
  <si>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</si>
  <si>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</si>
  <si>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</si>
  <si>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</si>
  <si>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</si>
  <si>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</si>
  <si>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</si>
  <si>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</si>
  <si>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</si>
  <si>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</si>
  <si>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</si>
  <si>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</si>
  <si>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</si>
  <si>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</si>
  <si>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</si>
  <si>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</si>
  <si>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</si>
  <si>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</si>
  <si>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</si>
  <si>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</si>
  <si>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</si>
  <si>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</si>
  <si>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</si>
  <si>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</si>
  <si>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</si>
  <si>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</si>
  <si>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</si>
  <si>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</si>
  <si>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</si>
  <si>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</si>
  <si>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</si>
  <si>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</si>
  <si>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</si>
  <si>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</si>
  <si>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</si>
  <si>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</si>
  <si>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</si>
  <si>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</si>
  <si>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</si>
  <si>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</si>
  <si>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</si>
  <si>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</si>
  <si>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</si>
  <si>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</si>
  <si>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</si>
  <si>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</si>
  <si>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3</t>
  </si>
  <si>
    <t>6</t>
  </si>
  <si>
    <t>9.1</t>
  </si>
  <si>
    <t>3.1</t>
  </si>
  <si>
    <t>3.2</t>
  </si>
  <si>
    <t>3.3</t>
  </si>
  <si>
    <t>პილარ 2-ის მოთხოვნა პირველად კაპიტალზე</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</si>
  <si>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</si>
  <si>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</si>
  <si>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</si>
  <si>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</si>
  <si>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</si>
  <si>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</si>
  <si>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</si>
  <si>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</si>
  <si>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</si>
  <si>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</si>
  <si>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</si>
  <si>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</si>
  <si>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</si>
  <si>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</si>
  <si>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</si>
  <si>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</si>
  <si>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</si>
  <si>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</si>
  <si>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</si>
  <si>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</si>
  <si>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</si>
  <si>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</si>
  <si>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</si>
  <si>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</si>
  <si>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</si>
  <si>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</si>
  <si>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</si>
  <si>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</si>
  <si>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</si>
  <si>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</si>
  <si>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</si>
  <si>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</si>
  <si>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</si>
  <si>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</si>
  <si>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</si>
  <si>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</si>
  <si>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</si>
  <si>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</si>
  <si>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</si>
  <si>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</si>
  <si>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</si>
  <si>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</si>
  <si>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</si>
  <si>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</si>
  <si>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</si>
  <si>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</si>
  <si>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</si>
  <si>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</si>
  <si>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</si>
  <si>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</si>
  <si>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</si>
  <si>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</si>
  <si>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</si>
  <si>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</si>
  <si>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</si>
  <si>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</si>
  <si>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</si>
  <si>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</si>
  <si>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</si>
  <si>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</si>
  <si>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</si>
  <si>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</si>
  <si>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</si>
  <si>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</si>
  <si>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</si>
  <si>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</si>
  <si>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</si>
  <si>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</si>
  <si>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</si>
  <si>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</si>
  <si>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</si>
  <si>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</si>
  <si>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</si>
  <si>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</si>
  <si>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</si>
  <si>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</si>
  <si>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</si>
  <si>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</si>
  <si>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</si>
  <si>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</si>
  <si>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</si>
  <si>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</si>
  <si>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</si>
  <si>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</si>
  <si>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</si>
  <si>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</si>
  <si>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</si>
  <si>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</si>
  <si>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</si>
  <si>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</si>
  <si>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</si>
  <si>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</si>
  <si>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</si>
  <si>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</si>
  <si>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</si>
  <si>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</si>
  <si>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</si>
  <si>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</si>
  <si>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</si>
  <si>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</si>
  <si>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</si>
  <si>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</si>
  <si>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</si>
  <si>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</si>
  <si>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</si>
  <si>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</si>
  <si>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</si>
  <si>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</si>
  <si>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</si>
  <si>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</si>
  <si>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</si>
  <si>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</si>
  <si>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</si>
  <si>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</si>
  <si>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</si>
  <si>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</si>
  <si>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</si>
  <si>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</si>
  <si>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</si>
  <si>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</si>
  <si>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</si>
  <si>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</si>
  <si>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</si>
  <si>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</si>
  <si>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</si>
  <si>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</si>
  <si>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</si>
  <si>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</si>
  <si>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</si>
  <si>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</si>
  <si>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</si>
  <si>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</si>
  <si>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</si>
  <si>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</si>
  <si>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</si>
  <si>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</si>
  <si>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</si>
  <si>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</si>
  <si>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</si>
  <si>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</si>
  <si>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</si>
  <si>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</si>
  <si>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</si>
  <si>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</si>
  <si>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</si>
  <si>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</si>
  <si>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</si>
  <si>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</si>
  <si>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</si>
  <si>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</si>
  <si>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</si>
  <si>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</si>
  <si>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</si>
  <si>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</si>
  <si>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</si>
  <si>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</si>
  <si>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</si>
  <si>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</si>
  <si>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</si>
  <si>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</si>
  <si>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</si>
  <si>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</si>
  <si>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</si>
  <si>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</si>
  <si>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</si>
  <si>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</si>
  <si>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</si>
  <si>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</si>
  <si>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</si>
  <si>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</si>
  <si>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</si>
  <si>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</si>
  <si>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</si>
  <si>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</si>
  <si>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</si>
  <si>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</si>
  <si>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</si>
  <si>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</si>
  <si>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</si>
  <si>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</si>
  <si>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</si>
  <si>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</si>
  <si>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</si>
  <si>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</si>
  <si>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</si>
  <si>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</si>
  <si>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</si>
  <si>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</si>
  <si>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</si>
  <si>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</si>
  <si>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</si>
  <si>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</si>
  <si>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</si>
  <si>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</si>
  <si>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</si>
  <si>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</si>
  <si>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</si>
  <si>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</si>
  <si>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</si>
  <si>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</si>
  <si>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</si>
  <si>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</si>
  <si>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</si>
  <si>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</si>
  <si>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</si>
  <si>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</si>
  <si>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</si>
  <si>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</si>
  <si>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</si>
  <si>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</si>
  <si>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</si>
  <si>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</si>
  <si>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</si>
  <si>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</si>
  <si>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</si>
  <si>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</si>
  <si>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</si>
  <si>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</si>
  <si>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</si>
  <si>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</si>
  <si>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</si>
  <si>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</si>
  <si>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</si>
  <si>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</si>
  <si>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</si>
  <si>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</si>
  <si>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</si>
  <si>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</si>
  <si>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</si>
  <si>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</si>
  <si>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</si>
  <si>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</si>
  <si>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</si>
  <si>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</si>
  <si>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</si>
  <si>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</si>
  <si>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</si>
  <si>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</si>
  <si>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</si>
  <si>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</si>
  <si>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</si>
  <si>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</si>
  <si>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</si>
  <si>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</si>
  <si>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</si>
  <si>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</si>
  <si>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</si>
  <si>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</si>
  <si>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</si>
  <si>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</si>
  <si>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</si>
  <si>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</si>
  <si>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</si>
  <si>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</si>
  <si>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</si>
  <si>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</si>
  <si>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</si>
  <si>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</si>
  <si>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</si>
  <si>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</si>
  <si>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</si>
  <si>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</si>
  <si>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</si>
  <si>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</si>
  <si>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</si>
  <si>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</si>
  <si>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</si>
  <si>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</si>
  <si>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</si>
  <si>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</si>
  <si>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</si>
  <si>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</si>
  <si>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</si>
  <si>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</si>
  <si>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</si>
  <si>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</si>
  <si>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</si>
  <si>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</si>
  <si>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</si>
  <si>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</si>
  <si>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</si>
  <si>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</si>
  <si>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</si>
  <si>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</si>
  <si>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</si>
  <si>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</si>
  <si>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</si>
  <si>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</si>
  <si>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</si>
  <si>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</si>
  <si>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</si>
  <si>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</si>
  <si>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</si>
  <si>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</si>
  <si>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</si>
  <si>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</si>
  <si>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</si>
  <si>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</si>
  <si>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</si>
  <si>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</si>
  <si>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</si>
  <si>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</si>
  <si>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</si>
  <si>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</si>
  <si>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</si>
  <si>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</si>
  <si>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</si>
  <si>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</si>
  <si>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</si>
  <si>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</si>
  <si>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</si>
  <si>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</si>
  <si>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</si>
  <si>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</si>
  <si>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</si>
  <si>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</si>
  <si>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</si>
  <si>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</si>
  <si>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</si>
  <si>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</si>
  <si>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</si>
  <si>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</si>
  <si>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</si>
  <si>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</si>
  <si>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</si>
  <si>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</si>
  <si>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</si>
  <si>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</si>
  <si>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</si>
  <si>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</si>
  <si>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</si>
  <si>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</si>
  <si>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</si>
  <si>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</si>
  <si>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</si>
  <si>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</si>
  <si>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</si>
  <si>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</si>
  <si>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</si>
  <si>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</si>
  <si>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</si>
  <si>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</si>
  <si>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</si>
  <si>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</si>
  <si>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</si>
  <si>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</si>
  <si>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</si>
  <si>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</si>
  <si>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</si>
  <si>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</si>
  <si>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</si>
  <si>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</si>
  <si>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</si>
  <si>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</si>
  <si>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</si>
  <si>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</si>
  <si>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</si>
  <si>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</si>
  <si>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</si>
  <si>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</si>
  <si>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</si>
  <si>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</si>
  <si>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</si>
  <si>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</si>
  <si>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</si>
  <si>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</si>
  <si>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</si>
  <si>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</si>
  <si>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</si>
  <si>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</si>
  <si>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</si>
  <si>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</si>
  <si>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</si>
  <si>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</si>
  <si>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</si>
  <si>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</si>
  <si>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</si>
  <si>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</si>
  <si>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</si>
  <si>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</si>
  <si>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</si>
  <si>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</si>
  <si>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</si>
  <si>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</si>
  <si>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</si>
  <si>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</si>
  <si>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</si>
  <si>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</si>
  <si>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</si>
  <si>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</si>
  <si>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</si>
  <si>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</si>
  <si>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</si>
  <si>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</si>
  <si>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</si>
  <si>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</si>
  <si>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</si>
  <si>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</si>
  <si>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</si>
  <si>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</si>
  <si>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</si>
  <si>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</si>
  <si>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</si>
  <si>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</si>
  <si>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</si>
  <si>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</si>
  <si>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</si>
  <si>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</si>
  <si>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</si>
  <si>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</si>
  <si>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</si>
  <si>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</si>
  <si>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</si>
  <si>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</si>
  <si>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</si>
  <si>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</si>
  <si>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</si>
  <si>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</si>
  <si>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</si>
  <si>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</si>
  <si>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</si>
  <si>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</si>
  <si>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</si>
  <si>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</si>
  <si>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</si>
  <si>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</si>
  <si>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</si>
  <si>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</si>
  <si>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</si>
  <si>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</si>
  <si>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</si>
  <si>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</si>
  <si>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</si>
  <si>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</si>
  <si>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</si>
  <si>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</si>
  <si>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</si>
  <si>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</si>
  <si>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</si>
  <si>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</si>
  <si>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</si>
  <si>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</si>
  <si>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</si>
  <si>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</si>
  <si>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</si>
  <si>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</si>
  <si>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</si>
  <si>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</si>
  <si>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</si>
  <si>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</si>
  <si>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</si>
  <si>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</si>
  <si>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</si>
  <si>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</si>
  <si>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</si>
  <si>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</si>
  <si>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</si>
  <si>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</si>
  <si>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</si>
  <si>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</si>
  <si>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</si>
  <si>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</si>
  <si>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</si>
  <si>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</si>
  <si>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</si>
  <si>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</si>
  <si>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</si>
  <si>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</si>
  <si>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</si>
  <si>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</si>
  <si>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</si>
  <si>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</si>
  <si>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</si>
  <si>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</si>
  <si>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</si>
  <si>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</si>
  <si>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</si>
  <si>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</si>
  <si>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</si>
  <si>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</si>
  <si>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</si>
  <si>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</si>
  <si>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</si>
  <si>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</si>
  <si>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</si>
  <si>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</si>
  <si>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</si>
  <si>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</si>
  <si>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</si>
  <si>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</si>
  <si>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</si>
  <si>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</si>
  <si>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</si>
  <si>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</si>
  <si>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</si>
  <si>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</si>
  <si>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</si>
  <si>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</si>
  <si>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</si>
  <si>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</si>
  <si>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</si>
  <si>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</si>
  <si>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</si>
  <si>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</si>
  <si>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</si>
  <si>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</si>
  <si>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</si>
  <si>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</si>
  <si>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</si>
  <si>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</si>
  <si>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</si>
  <si>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</si>
  <si>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</si>
  <si>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</si>
  <si>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</si>
  <si>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</si>
  <si>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</si>
  <si>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</si>
  <si>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</si>
  <si>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</si>
  <si>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</si>
  <si>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</si>
  <si>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</si>
  <si>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</si>
  <si>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</si>
  <si>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</si>
  <si>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</si>
  <si>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</si>
  <si>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</si>
  <si>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</si>
  <si>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</si>
  <si>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</si>
  <si>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</si>
  <si>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ინფორმაცია მიკრობანკის სამეთვალყურეო საბჭოს, დირექტორატის და აქციონერთა შესახებ</t>
  </si>
  <si>
    <t>მიკრობანკი:</t>
  </si>
  <si>
    <r>
      <t xml:space="preserve">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t>
    </r>
    <r>
      <rPr>
        <sz val="8"/>
        <color rgb="FFFF0000"/>
        <rFont val="Sylfaen"/>
        <family val="1"/>
      </rPr>
      <t>მიკრო</t>
    </r>
    <r>
      <rPr>
        <sz val="8"/>
        <rFont val="Sylfaen"/>
        <family val="1"/>
      </rPr>
      <t>ბანკების კაპიტალის ადეკვატურობის მოთხოვნების შესახებ დებულების მე-</t>
    </r>
    <r>
      <rPr>
        <sz val="8"/>
        <color rgb="FFFF0000"/>
        <rFont val="Sylfaen"/>
        <family val="1"/>
      </rPr>
      <t>52</t>
    </r>
    <r>
      <rPr>
        <sz val="8"/>
        <rFont val="Sylfaen"/>
        <family val="1"/>
      </rPr>
      <t xml:space="preserve"> თავის მიხედვით.</t>
    </r>
  </si>
  <si>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</si>
  <si>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</si>
  <si>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</si>
  <si>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</si>
  <si>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</si>
  <si>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</si>
  <si>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</si>
  <si>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</si>
  <si>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</si>
  <si>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</si>
  <si>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</si>
  <si>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</si>
  <si>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</si>
  <si>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</si>
  <si>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</si>
  <si>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</si>
  <si>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</si>
  <si>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</si>
  <si>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</si>
  <si>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</si>
  <si>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საკრედიტო გადაფასების კორექტირება</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</si>
  <si>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</si>
  <si>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</si>
  <si>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ცხრილი 15 კონტრაგენტთან დაკავშირებული საკრედიტო რისკის მიხედვით შეწონილი რისკის პოზიციები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</si>
  <si>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ფაქტორის ნამრავლთან შედარებით</t>
    </r>
  </si>
  <si>
    <t>მიკრობანკის სრული დასახელება</t>
  </si>
  <si>
    <t>მიკრობანკის სამეთვალყურეო საბჭოს თავმჯდომარე</t>
  </si>
  <si>
    <t>მიკრობანკის გენერალური დირექტორი</t>
  </si>
  <si>
    <t>მიკრობანკის ვებ-გვერდი</t>
  </si>
  <si>
    <t>მიკრობანკის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2023 წლის 21 ივნისის N110/04 ბრძანებით დამტკიცებული "მიკრობანკების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</si>
  <si>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 xml:space="preserve">ფულადი სახსრები სხვა ბანკებში </t>
  </si>
  <si>
    <t>მიკრობანკის მიმართ არსებული მოთხოვნის უზრუნველყოფის მიზნით მიღებული გარანტიები</t>
  </si>
  <si>
    <t>მიკრობანკის მოთხოვნის უზრუნველყოფის მიზნით მიღებული გარანტიები</t>
  </si>
  <si>
    <t>მიკრობანკის ფინანსური აქტივები</t>
  </si>
  <si>
    <t>მიკრობანკის არაფინანსური აქტივები</t>
  </si>
  <si>
    <t>პოზიციის დასახელება/კონტროლს დაქვემდებარებული მიმართულება მიკრობანკში</t>
  </si>
  <si>
    <t>ინფორმაცია ბანკის მიკროსამეთვალყურეო საბჭოს, დირექტორატის და აქციონერთა შესახებ</t>
  </si>
  <si>
    <t>მიკრობანკების,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</si>
  <si>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</si>
  <si>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</si>
  <si>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</si>
  <si>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ფულადი სახსრები კომერციულ ბანკებში და სხვა მიკრობანკებში</t>
  </si>
  <si>
    <t>უპირობო და პირობითი მოთხოვნები კომერციული ბანკების და მიკრობანკების მიმართ</t>
  </si>
  <si>
    <t>მიკრობანკის, კომერციული ბანკის ან/და საფინანსო ინსტიტუტის გარანტიით უზრუნველყოფილი სესხები</t>
  </si>
  <si>
    <t>მიკრობანკის, კომერციული ბანკის ან/და საფინანსო ინსტიტუტის გარანტიით უზრუნველყოფილი ვალდებულებების ღირებულება</t>
  </si>
  <si>
    <t>1-ელ სტრიქონში უნდა ჩაიწეროს საანგარიშგებო თარიღისთვის არსებული მიკრობანკის მიერ მიღებული "სესხის გაცემის ვალდებულების"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</si>
  <si>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მიკრობანკი წარმოადგენს პრინციპალს.</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</si>
  <si>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მიკრობანკი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</si>
  <si>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მიკრობანკის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მიკრობანკის მიმართ მოთხოვნების უზრუნველსაყოფად.</t>
  </si>
  <si>
    <t>მე-5 სტრიქონში უნდა ჩაიწეროს საანგარიშგებო თარიღისთვის მიკრობანკის კლიენტების მიერ მიკრობანკის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</si>
  <si>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მე-6 სტრიქონში უნდა ჩაიწეროს საანგარიშგებო თარიღისთვის არსებული მიკრობანკის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</si>
  <si>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მიკრობანკის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</si>
  <si>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მიკრობანკის მიერ გაცემული აკრედიტივების ჯამური ნომინალური ღირებულება</t>
  </si>
  <si>
    <t>მე-10 სტრიქონში უნდა ჩაიწეროს მიკრობანკის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</si>
  <si>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მიკრობანკის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</si>
  <si>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მიკრობანკის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მიკრობანკი უფლებამოსილია ნებისმიერ შევსებულ სტრიქონს დაურთოს განმარტებები.</t>
  </si>
  <si>
    <t>ცხრილის მიზნებისათვის მიკრობანკებმა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</si>
  <si>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მიკრობანკების კაპიტალის ადეკვატურობის მოთხოვნების შესახებ დებულების მე-6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</si>
  <si>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მიკრობანკების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</si>
  <si>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 xml:space="preserve">სტრიქონებში რისკის კლასები  მე-17 და მე-18 ცხრილისთვის განიმარტება მიკრობანკების კაპიტალის ადეკვატურობის მოთხოვნების შესახებ დებულების მე-20 მუხლის 1-ლი პუნქტის შესაბამისად.
</t>
  </si>
  <si>
    <t>რისკის პოზიცია - მიკრობანკების კაპიტალის ადეკვატურობის მოთხოვნების შესახებ დებულების შესაბამისად.</t>
  </si>
  <si>
    <t>კომერციული ბანკები, მიკრობანკები,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 და მიკრობანკებში.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</si>
  <si>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მიკრობანკში,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</si>
  <si>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მიკრობანკის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</si>
  <si>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ბანკები, მიკრობანკები და მრავალმხრივი ბანკები.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</si>
  <si>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მიკრობანკის მხრიდან ხდება მიზნობრიობის კონტროლი.</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</si>
  <si>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</si>
  <si>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მიკრობანკისთვის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მიკრობანკს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</si>
  <si>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</si>
  <si>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</si>
  <si>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</si>
  <si>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 სებ-ის მეთოდოლოგიით გაანგარიშებული კოეფიციენტები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</si>
  <si>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</si>
  <si>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მიკრობანკის მიმართ არსებული მოთხოვნის უზრუნველყოფის მიზნით დატვირთული ბანკის აქტივები</t>
  </si>
  <si>
    <t>საზედამხედველო ალფა ფაქტორი (α)</t>
  </si>
  <si>
    <t>კრისტალი</t>
  </si>
  <si>
    <t>არჩილ ბაკურაძე</t>
  </si>
  <si>
    <t>ილია რევია</t>
  </si>
  <si>
    <t>https://crystal.ge/</t>
  </si>
  <si>
    <t xml:space="preserve">                                                                                                                                           რისკის წონები
აქტივების კლასები</t>
  </si>
  <si>
    <r>
      <t xml:space="preserve">ვადაგადაცილება &gt; 30 დღეზე  </t>
    </r>
    <r>
      <rPr>
        <sz val="10"/>
        <rFont val="Calibri"/>
        <family val="2"/>
      </rPr>
      <t>≤</t>
    </r>
    <r>
      <rPr>
        <sz val="10"/>
        <rFont val="Sylfaen"/>
        <family val="1"/>
      </rPr>
      <t xml:space="preserve"> 90 დღეზე </t>
    </r>
  </si>
  <si>
    <t>არადამოუკიდებელ წევრი</t>
  </si>
  <si>
    <t>დამოუკიდებელი წევრი</t>
  </si>
  <si>
    <t>ლილიტ გარაიანი</t>
  </si>
  <si>
    <t>რობერტ სკოტ კოსმანი</t>
  </si>
  <si>
    <t>იან დევინგარტი</t>
  </si>
  <si>
    <t>დავით ბენდელიანი</t>
  </si>
  <si>
    <t>მელანია კუჭუხიძე</t>
  </si>
  <si>
    <t>კახა გაბესკირია</t>
  </si>
  <si>
    <t>ნინო ფანჯიკიძე</t>
  </si>
  <si>
    <t>გიორგი მეგენეიშვილი</t>
  </si>
  <si>
    <t>გენერალური დირექტორი</t>
  </si>
  <si>
    <t>ფინანსური დირექტორი</t>
  </si>
  <si>
    <t>კომერციული დირექტორი</t>
  </si>
  <si>
    <t>ლიზინგის დირექტორი</t>
  </si>
  <si>
    <t>საოპერაციო დირექტორი</t>
  </si>
  <si>
    <t>რისკების დირექტორი</t>
  </si>
  <si>
    <t>Agrif Cooperatief U.A.</t>
  </si>
  <si>
    <t>DWM Funds S.C.A.-SICAF-SIF</t>
  </si>
  <si>
    <t>მალხაზ ძაძუა</t>
  </si>
  <si>
    <t>ალუ გამახარია</t>
  </si>
  <si>
    <t>პაატა წოწონავა</t>
  </si>
  <si>
    <t>ვახტანგ ბაკურაძე</t>
  </si>
  <si>
    <t>კით იანგი</t>
  </si>
  <si>
    <t>ცხრილი 9 (Capital), N10</t>
  </si>
  <si>
    <t>ცხრილი 9 (Capital), N17</t>
  </si>
  <si>
    <t>ცხრილი 9 (Capital), N2</t>
  </si>
  <si>
    <t>ცხრილი 9 (Capital), N3</t>
  </si>
  <si>
    <t>ცხრილი 9 (Capital), N6</t>
  </si>
  <si>
    <t>ცხრილი 9 (Capital), N38</t>
  </si>
  <si>
    <t xml:space="preserve">არჩილ ბაკურაძე </t>
  </si>
  <si>
    <t>agRIF Cooperatief U.A (Netherlands)</t>
  </si>
  <si>
    <t>DWM Funds SCA SICAV SIF (Luxembourg)</t>
  </si>
  <si>
    <t>DWM Funds S.a.r.l. (Luxembourg)</t>
  </si>
  <si>
    <t>Developing World Finance, LLC (USA)</t>
  </si>
  <si>
    <t>DWM Holdings, LLC (USA)</t>
  </si>
  <si>
    <t>agRIF Feeder BV (Netherlands) reg# 855273975</t>
  </si>
  <si>
    <t>Nederlandse Financierings-Maatschappij voor Ontwikkelingslanden N.V. (FMO) (Netherlands)</t>
  </si>
  <si>
    <t>European Investment Bank (EIB)</t>
  </si>
  <si>
    <t>Societe De Promotion Et De Participation Pour La Cooperation Economique (PROPARCO) SA (France)</t>
  </si>
  <si>
    <t>Agence Française de Développement (AFD) (France)</t>
  </si>
  <si>
    <t>AXA Impact Fund II (Ireland)</t>
  </si>
  <si>
    <t>Axa Investment Managers UK Limitied (UK)</t>
  </si>
  <si>
    <t>AXA Investment Managers UK Holdings Limited (UK)</t>
  </si>
  <si>
    <t>AXA Investment Managers S.A. (France)</t>
  </si>
  <si>
    <t>AXA  S.A (France)</t>
  </si>
  <si>
    <t>Peter Johnson (USA)</t>
  </si>
  <si>
    <t>ლიკვიდობის გადაფარვის კოეფიციენტი***</t>
  </si>
  <si>
    <t>`</t>
  </si>
  <si>
    <t>სულ საკუთარი კაპიტალი*</t>
  </si>
  <si>
    <t>* მიკრობანკების საქმიანობის შესახებ კანონით განსაზღვრული სააქციო კაპიტალი</t>
  </si>
  <si>
    <t>დამოუკიდებელი თავმჯდომარე</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</si>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</sst>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
    <numFmt numFmtId="195" formatCode="_-* #,##0_-;\-* #,##0_-;_-* &quot;-&quot;??_-;_-@_-"/>
  </numFmts>
  <fonts count="15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color rgb="FF333333"/>
      <name val="Sylfaen"/>
      <family val="1"/>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sz val="11"/>
      <name val="Sylfaen"/>
      <family val="1"/>
    </font>
    <font>
      <b/>
      <i/>
      <sz val="10"/>
      <color theme="1"/>
      <name val="Sylfaen"/>
      <family val="1"/>
    </font>
    <font>
      <b/>
      <sz val="8"/>
      <name val="Sylfaen"/>
      <family val="1"/>
    </font>
    <font>
      <sz val="8"/>
      <name val="Sylfaen"/>
      <family val="1"/>
    </font>
    <font>
      <b/>
      <i/>
      <u/>
      <sz val="8"/>
      <name val="Sylfaen"/>
      <family val="1"/>
    </font>
    <font>
      <sz val="10"/>
      <color theme="1"/>
      <name val="Calibri"/>
      <family val="1"/>
      <scheme val="minor"/>
    </font>
    <font>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sz val="10"/>
      <name val="Arial"/>
      <family val="2"/>
    </font>
    <font>
      <sz val="11"/>
      <name val="Calibri"/>
      <family val="2"/>
      <scheme val="minor"/>
    </font>
    <font>
      <u/>
      <sz val="8"/>
      <name val="Sylfaen"/>
      <family val="1"/>
    </font>
    <font>
      <sz val="8"/>
      <color theme="1"/>
      <name val="Sylfaen"/>
      <family val="1"/>
    </font>
    <font>
      <sz val="9"/>
      <color indexed="81"/>
      <name val="Tahoma"/>
      <family val="2"/>
    </font>
    <font>
      <b/>
      <sz val="9"/>
      <color indexed="81"/>
      <name val="Tahoma"/>
      <family val="2"/>
    </font>
    <font>
      <sz val="11"/>
      <color rgb="FFFF0000"/>
      <name val="Calibri"/>
      <family val="2"/>
      <scheme val="minor"/>
    </font>
    <font>
      <b/>
      <sz val="8"/>
      <color rgb="FFFF0000"/>
      <name val="Sylfaen"/>
      <family val="1"/>
    </font>
    <font>
      <sz val="8"/>
      <name val="Calibri"/>
      <family val="2"/>
    </font>
    <font>
      <sz val="11"/>
      <name val="Sylfaen"/>
      <family val="1"/>
    </font>
    <font>
      <b/>
      <i/>
      <sz val="10"/>
      <name val="Sylfaen"/>
      <family val="1"/>
    </font>
    <font>
      <u/>
      <sz val="10"/>
      <color indexed="12"/>
      <name val="Sylfaen"/>
      <family val="1"/>
    </font>
    <font>
      <sz val="11"/>
      <color theme="1"/>
      <name val="Sylfaen"/>
      <family val="1"/>
    </font>
    <font>
      <b/>
      <sz val="8"/>
      <color indexed="8"/>
      <name val="Sylfaen"/>
      <family val="1"/>
    </font>
    <font>
      <sz val="8"/>
      <color indexed="8"/>
      <name val="Sylfaen"/>
      <family val="1"/>
    </font>
    <font>
      <b/>
      <sz val="11"/>
      <color indexed="8"/>
      <name val="Sylfaen"/>
      <family val="1"/>
    </font>
    <font>
      <b/>
      <sz val="8"/>
      <color rgb="FF000000"/>
      <name val="Sylfaen"/>
      <family val="1"/>
    </font>
    <font>
      <i/>
      <sz val="11"/>
      <name val="Sylfaen"/>
      <family val="1"/>
    </font>
    <font>
      <b/>
      <i/>
      <sz val="11"/>
      <name val="Sylfaen"/>
      <family val="1"/>
    </font>
    <font>
      <b/>
      <sz val="11"/>
      <color theme="1"/>
      <name val="Sylfaen"/>
      <family val="1"/>
    </font>
    <font>
      <i/>
      <sz val="9"/>
      <name val="Sylfaen"/>
      <family val="1"/>
    </font>
    <font>
      <b/>
      <sz val="10"/>
      <color indexed="8"/>
      <name val="Sylfaen"/>
      <family val="1"/>
    </font>
    <font>
      <sz val="10"/>
      <color indexed="8"/>
      <name val="Sylfaen"/>
      <family val="1"/>
    </font>
    <font>
      <b/>
      <sz val="10"/>
      <color rgb="FF000000"/>
      <name val="Sylfaen"/>
      <family val="1"/>
    </font>
    <font>
      <b/>
      <sz val="10"/>
      <color rgb="FFFF0000"/>
      <name val="Sylfaen"/>
      <family val="1"/>
    </font>
    <font>
      <b/>
      <u/>
      <sz val="10"/>
      <name val="Sylfaen"/>
      <family val="1"/>
    </font>
    <font>
      <sz val="10"/>
      <name val="Calibri"/>
      <family val="2"/>
    </font>
    <font>
      <b/>
      <sz val="8"/>
      <color theme="1"/>
      <name val="Calibri"/>
      <family val="2"/>
      <scheme val="minor"/>
    </font>
    <font>
      <sz val="8"/>
      <color rgb="FFFF0000"/>
      <name val="Calibri"/>
      <family val="2"/>
      <scheme val="minor"/>
    </font>
    <font>
      <b/>
      <sz val="9"/>
      <name val="Calibri"/>
      <family val="2"/>
      <scheme val="minor"/>
    </font>
    <font>
      <b/>
      <sz val="9"/>
      <color theme="1"/>
      <name val="Calibri"/>
      <family val="2"/>
      <scheme val="minor"/>
    </font>
    <font>
      <b/>
      <sz val="11"/>
      <color rgb="FFFF0000"/>
      <name val="Calibri"/>
      <family val="2"/>
      <scheme val="minor"/>
    </font>
    <font>
      <b/>
      <i/>
      <sz val="9"/>
      <color theme="1"/>
      <name val="Sylfaen"/>
      <family val="1"/>
    </font>
    <font>
      <b/>
      <sz val="9"/>
      <color rgb="FFFF0000"/>
      <name val="Sylfaen"/>
      <family val="1"/>
    </font>
    <font>
      <b/>
      <sz val="9"/>
      <color rgb="FFFF0000"/>
      <name val="Calibri"/>
      <family val="2"/>
      <scheme val="minor"/>
    </font>
    <font>
      <sz val="9"/>
      <name val="Calibri"/>
      <family val="2"/>
      <scheme val="minor"/>
    </font>
    <font>
      <b/>
      <i/>
      <sz val="11"/>
      <name val="Calibri"/>
      <family val="2"/>
      <scheme val="minor"/>
    </font>
    <font>
      <sz val="10"/>
      <color rgb="FF000000"/>
      <name val="Sylfaen"/>
      <family val="1"/>
    </font>
    <font>
      <sz val="10"/>
      <color rgb="FFC00000"/>
      <name val="Sylfaen"/>
      <family val="1"/>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15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2" fillId="0" borderId="0"/>
    <xf numFmtId="0" fontId="6" fillId="0" borderId="0"/>
    <xf numFmtId="0" fontId="1" fillId="0" borderId="0"/>
    <xf numFmtId="9" fontId="1" fillId="0" borderId="0" applyFont="0" applyFill="0" applyBorder="0" applyAlignment="0" applyProtection="0"/>
    <xf numFmtId="0" fontId="2" fillId="0" borderId="0"/>
    <xf numFmtId="0" fontId="2" fillId="0" borderId="0"/>
    <xf numFmtId="0" fontId="9" fillId="0" borderId="0" applyNumberFormat="0" applyFill="0" applyBorder="0" applyAlignment="0" applyProtection="0">
      <alignment vertical="top"/>
      <protection locked="0"/>
    </xf>
    <xf numFmtId="0" fontId="17" fillId="0" borderId="0"/>
    <xf numFmtId="168" fontId="18" fillId="36" borderId="0"/>
    <xf numFmtId="169" fontId="18" fillId="36" borderId="0"/>
    <xf numFmtId="168" fontId="18" fillId="36" borderId="0"/>
    <xf numFmtId="0" fontId="19" fillId="37" borderId="0" applyNumberFormat="0" applyBorder="0" applyAlignment="0" applyProtection="0"/>
    <xf numFmtId="0" fontId="3" fillId="12"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0" fontId="19"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3" fillId="16"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0" fontId="19"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3" fillId="20"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0" fontId="19"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 fillId="24"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0" fontId="19"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3" fillId="28"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0" fontId="19"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3" fillId="3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0" fontId="19"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 fillId="1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0" fontId="19"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3" fillId="17"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0" fontId="19"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0" fontId="19" fillId="44" borderId="0" applyNumberFormat="0" applyBorder="0" applyAlignment="0" applyProtection="0"/>
    <xf numFmtId="0" fontId="19" fillId="45" borderId="0" applyNumberFormat="0" applyBorder="0" applyAlignment="0" applyProtection="0"/>
    <xf numFmtId="0" fontId="3" fillId="21"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0" fontId="19"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0" fontId="19" fillId="45" borderId="0" applyNumberFormat="0" applyBorder="0" applyAlignment="0" applyProtection="0"/>
    <xf numFmtId="0" fontId="19" fillId="40" borderId="0" applyNumberFormat="0" applyBorder="0" applyAlignment="0" applyProtection="0"/>
    <xf numFmtId="0" fontId="3" fillId="25"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0" fontId="19"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3" fillId="29"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0" fontId="19"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3" fillId="33"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0" fontId="19"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0" fontId="19" fillId="46" borderId="0" applyNumberFormat="0" applyBorder="0" applyAlignment="0" applyProtection="0"/>
    <xf numFmtId="0" fontId="21" fillId="47" borderId="0" applyNumberFormat="0" applyBorder="0" applyAlignment="0" applyProtection="0"/>
    <xf numFmtId="0" fontId="22" fillId="14"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0" fontId="21" fillId="4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0" fontId="21" fillId="47" borderId="0" applyNumberFormat="0" applyBorder="0" applyAlignment="0" applyProtection="0"/>
    <xf numFmtId="0" fontId="21" fillId="44" borderId="0" applyNumberFormat="0" applyBorder="0" applyAlignment="0" applyProtection="0"/>
    <xf numFmtId="0" fontId="22" fillId="18"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1" fillId="44"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22" fillId="22"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1" fillId="45"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1" fillId="45" borderId="0" applyNumberFormat="0" applyBorder="0" applyAlignment="0" applyProtection="0"/>
    <xf numFmtId="0" fontId="21" fillId="48" borderId="0" applyNumberFormat="0" applyBorder="0" applyAlignment="0" applyProtection="0"/>
    <xf numFmtId="0" fontId="22" fillId="26"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0" fontId="21" fillId="48"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2" fillId="30"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0" fontId="21" fillId="49"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2" fillId="34"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0" fontId="21" fillId="50"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0" fontId="21" fillId="50"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2" fillId="11"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0" fontId="21" fillId="53"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2" fillId="15"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0" fontId="21" fillId="5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19" fillId="54" borderId="0" applyNumberFormat="0" applyBorder="0" applyAlignment="0" applyProtection="0"/>
    <xf numFmtId="0" fontId="19" fillId="58"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2" fillId="1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0" fontId="21" fillId="5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19" fillId="51" borderId="0" applyNumberFormat="0" applyBorder="0" applyAlignment="0" applyProtection="0"/>
    <xf numFmtId="0" fontId="19" fillId="55" borderId="0" applyNumberFormat="0" applyBorder="0" applyAlignment="0" applyProtection="0"/>
    <xf numFmtId="0" fontId="21" fillId="55" borderId="0" applyNumberFormat="0" applyBorder="0" applyAlignment="0" applyProtection="0"/>
    <xf numFmtId="0" fontId="21" fillId="48" borderId="0" applyNumberFormat="0" applyBorder="0" applyAlignment="0" applyProtection="0"/>
    <xf numFmtId="0" fontId="22" fillId="23"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0" fontId="21" fillId="48"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19" fillId="60" borderId="0" applyNumberFormat="0" applyBorder="0" applyAlignment="0" applyProtection="0"/>
    <xf numFmtId="0" fontId="19" fillId="51" borderId="0" applyNumberFormat="0" applyBorder="0" applyAlignment="0" applyProtection="0"/>
    <xf numFmtId="0" fontId="21" fillId="52" borderId="0" applyNumberFormat="0" applyBorder="0" applyAlignment="0" applyProtection="0"/>
    <xf numFmtId="0" fontId="21" fillId="49" borderId="0" applyNumberFormat="0" applyBorder="0" applyAlignment="0" applyProtection="0"/>
    <xf numFmtId="0" fontId="22" fillId="27"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0" fontId="21" fillId="49"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9" fillId="54" borderId="0" applyNumberFormat="0" applyBorder="0" applyAlignment="0" applyProtection="0"/>
    <xf numFmtId="0" fontId="19"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2" fillId="31"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0" fontId="21" fillId="62"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4" fillId="38" borderId="0" applyNumberFormat="0" applyBorder="0" applyAlignment="0" applyProtection="0"/>
    <xf numFmtId="0" fontId="25" fillId="5"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4" fillId="38"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4" fillId="38" borderId="0" applyNumberFormat="0" applyBorder="0" applyAlignment="0" applyProtection="0"/>
    <xf numFmtId="170" fontId="27"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1" fontId="29" fillId="0" borderId="0" applyFill="0" applyBorder="0" applyAlignment="0"/>
    <xf numFmtId="171" fontId="29"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2" fontId="29" fillId="0" borderId="0" applyFill="0" applyBorder="0" applyAlignment="0"/>
    <xf numFmtId="173" fontId="29" fillId="0" borderId="0" applyFill="0" applyBorder="0" applyAlignment="0"/>
    <xf numFmtId="174" fontId="29" fillId="0" borderId="0" applyFill="0" applyBorder="0" applyAlignment="0"/>
    <xf numFmtId="175"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8" fontId="32"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8" fontId="32"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9" fontId="32"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1" fillId="8" borderId="24"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0" fontId="30"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168" fontId="32" fillId="63" borderId="31" applyNumberFormat="0" applyAlignment="0" applyProtection="0"/>
    <xf numFmtId="169" fontId="32" fillId="63" borderId="31" applyNumberFormat="0" applyAlignment="0" applyProtection="0"/>
    <xf numFmtId="168" fontId="32" fillId="63" borderId="31" applyNumberFormat="0" applyAlignment="0" applyProtection="0"/>
    <xf numFmtId="0" fontId="30" fillId="63" borderId="31" applyNumberFormat="0" applyAlignment="0" applyProtection="0"/>
    <xf numFmtId="0" fontId="33" fillId="64" borderId="32" applyNumberFormat="0" applyAlignment="0" applyProtection="0"/>
    <xf numFmtId="0" fontId="34" fillId="9" borderId="27"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0" fontId="33"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0" fontId="34" fillId="9" borderId="27"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169" fontId="35" fillId="64" borderId="32" applyNumberFormat="0" applyAlignment="0" applyProtection="0"/>
    <xf numFmtId="168" fontId="35" fillId="64" borderId="32" applyNumberFormat="0" applyAlignment="0" applyProtection="0"/>
    <xf numFmtId="0" fontId="33" fillId="64" borderId="32"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quotePrefix="1">
      <protection locked="0"/>
    </xf>
    <xf numFmtId="43" fontId="19" fillId="0" borderId="0" applyFont="0" applyFill="0" applyBorder="0" applyAlignment="0" applyProtection="0"/>
    <xf numFmtId="43" fontId="2" fillId="0" borderId="0" quotePrefix="1">
      <protection locked="0"/>
    </xf>
    <xf numFmtId="43" fontId="1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 fillId="0" borderId="0"/>
    <xf numFmtId="172" fontId="29"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7" fillId="0" borderId="0"/>
    <xf numFmtId="14" fontId="38" fillId="0" borderId="0" applyFill="0" applyBorder="0" applyAlignment="0"/>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33">
      <alignment vertical="center"/>
    </xf>
    <xf numFmtId="38" fontId="18" fillId="0" borderId="0" applyFont="0" applyFill="0" applyBorder="0" applyAlignment="0" applyProtection="0"/>
    <xf numFmtId="180" fontId="2" fillId="0" borderId="0" applyFont="0" applyFill="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0" fontId="40" fillId="0" borderId="0" applyNumberFormat="0" applyFill="0" applyBorder="0" applyAlignment="0" applyProtection="0"/>
    <xf numFmtId="168" fontId="2" fillId="0" borderId="0"/>
    <xf numFmtId="0" fontId="2" fillId="0" borderId="0"/>
    <xf numFmtId="168" fontId="2" fillId="0" borderId="0"/>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43" fillId="39" borderId="0" applyNumberFormat="0" applyBorder="0" applyAlignment="0" applyProtection="0"/>
    <xf numFmtId="0" fontId="44" fillId="4"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0" fontId="43" fillId="39"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0" fontId="43" fillId="39" borderId="0" applyNumberFormat="0" applyBorder="0" applyAlignment="0" applyProtection="0"/>
    <xf numFmtId="0" fontId="2" fillId="68" borderId="3" applyNumberFormat="0" applyFont="0" applyBorder="0" applyProtection="0">
      <alignment horizontal="center" vertical="center"/>
    </xf>
    <xf numFmtId="0" fontId="46" fillId="0" borderId="23" applyNumberFormat="0" applyAlignment="0" applyProtection="0">
      <alignment horizontal="left" vertical="center"/>
    </xf>
    <xf numFmtId="0" fontId="46" fillId="0" borderId="23" applyNumberFormat="0" applyAlignment="0" applyProtection="0">
      <alignment horizontal="left" vertical="center"/>
    </xf>
    <xf numFmtId="168" fontId="46" fillId="0" borderId="23" applyNumberFormat="0" applyAlignment="0" applyProtection="0">
      <alignment horizontal="left" vertical="center"/>
    </xf>
    <xf numFmtId="0" fontId="46" fillId="0" borderId="7">
      <alignment horizontal="left" vertical="center"/>
    </xf>
    <xf numFmtId="0" fontId="46" fillId="0" borderId="7">
      <alignment horizontal="left" vertical="center"/>
    </xf>
    <xf numFmtId="168" fontId="46" fillId="0" borderId="7">
      <alignment horizontal="left" vertical="center"/>
    </xf>
    <xf numFmtId="0" fontId="47" fillId="0" borderId="34" applyNumberFormat="0" applyFill="0" applyAlignment="0" applyProtection="0"/>
    <xf numFmtId="169" fontId="47" fillId="0" borderId="34" applyNumberFormat="0" applyFill="0" applyAlignment="0" applyProtection="0"/>
    <xf numFmtId="0"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168" fontId="47" fillId="0" borderId="34" applyNumberFormat="0" applyFill="0" applyAlignment="0" applyProtection="0"/>
    <xf numFmtId="169" fontId="47" fillId="0" borderId="34" applyNumberFormat="0" applyFill="0" applyAlignment="0" applyProtection="0"/>
    <xf numFmtId="168" fontId="47" fillId="0" borderId="34" applyNumberFormat="0" applyFill="0" applyAlignment="0" applyProtection="0"/>
    <xf numFmtId="0" fontId="47" fillId="0" borderId="34" applyNumberFormat="0" applyFill="0" applyAlignment="0" applyProtection="0"/>
    <xf numFmtId="0" fontId="48" fillId="0" borderId="35" applyNumberFormat="0" applyFill="0" applyAlignment="0" applyProtection="0"/>
    <xf numFmtId="169" fontId="48" fillId="0" borderId="35" applyNumberFormat="0" applyFill="0" applyAlignment="0" applyProtection="0"/>
    <xf numFmtId="0"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168" fontId="48" fillId="0" borderId="35" applyNumberFormat="0" applyFill="0" applyAlignment="0" applyProtection="0"/>
    <xf numFmtId="169" fontId="48" fillId="0" borderId="35" applyNumberFormat="0" applyFill="0" applyAlignment="0" applyProtection="0"/>
    <xf numFmtId="168" fontId="48" fillId="0" borderId="35" applyNumberFormat="0" applyFill="0" applyAlignment="0" applyProtection="0"/>
    <xf numFmtId="0" fontId="48" fillId="0" borderId="35" applyNumberFormat="0" applyFill="0" applyAlignment="0" applyProtection="0"/>
    <xf numFmtId="0" fontId="49" fillId="0" borderId="36" applyNumberFormat="0" applyFill="0" applyAlignment="0" applyProtection="0"/>
    <xf numFmtId="169" fontId="49" fillId="0" borderId="36" applyNumberFormat="0" applyFill="0" applyAlignment="0" applyProtection="0"/>
    <xf numFmtId="0" fontId="49" fillId="0" borderId="36" applyNumberFormat="0" applyFill="0" applyAlignment="0" applyProtection="0"/>
    <xf numFmtId="168" fontId="49" fillId="0" borderId="36" applyNumberFormat="0" applyFill="0" applyAlignment="0" applyProtection="0"/>
    <xf numFmtId="0" fontId="49" fillId="0" borderId="36" applyNumberFormat="0" applyFill="0" applyAlignment="0" applyProtection="0"/>
    <xf numFmtId="168" fontId="49" fillId="0" borderId="36" applyNumberFormat="0" applyFill="0" applyAlignment="0" applyProtection="0"/>
    <xf numFmtId="0" fontId="49" fillId="0" borderId="36" applyNumberFormat="0" applyFill="0" applyAlignment="0" applyProtection="0"/>
    <xf numFmtId="0"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168" fontId="49" fillId="0" borderId="36" applyNumberFormat="0" applyFill="0" applyAlignment="0" applyProtection="0"/>
    <xf numFmtId="169" fontId="49" fillId="0" borderId="36" applyNumberFormat="0" applyFill="0" applyAlignment="0" applyProtection="0"/>
    <xf numFmtId="168" fontId="49" fillId="0" borderId="36" applyNumberFormat="0" applyFill="0" applyAlignment="0" applyProtection="0"/>
    <xf numFmtId="0" fontId="49" fillId="0" borderId="36" applyNumberFormat="0" applyFill="0" applyAlignment="0" applyProtection="0"/>
    <xf numFmtId="0" fontId="49" fillId="0" borderId="0" applyNumberFormat="0" applyFill="0" applyBorder="0" applyAlignment="0" applyProtection="0"/>
    <xf numFmtId="169" fontId="49" fillId="0" borderId="0" applyNumberFormat="0" applyFill="0" applyBorder="0" applyAlignment="0" applyProtection="0"/>
    <xf numFmtId="0"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9" fillId="0" borderId="0" applyNumberFormat="0" applyFill="0" applyBorder="0" applyAlignment="0" applyProtection="0"/>
    <xf numFmtId="37" fontId="50" fillId="0" borderId="0"/>
    <xf numFmtId="168" fontId="51" fillId="0" borderId="0"/>
    <xf numFmtId="0" fontId="51" fillId="0" borderId="0"/>
    <xf numFmtId="168" fontId="51" fillId="0" borderId="0"/>
    <xf numFmtId="168" fontId="46" fillId="0" borderId="0"/>
    <xf numFmtId="0" fontId="46" fillId="0" borderId="0"/>
    <xf numFmtId="168" fontId="46" fillId="0" borderId="0"/>
    <xf numFmtId="168" fontId="52" fillId="0" borderId="0"/>
    <xf numFmtId="0" fontId="52" fillId="0" borderId="0"/>
    <xf numFmtId="168" fontId="52" fillId="0" borderId="0"/>
    <xf numFmtId="168" fontId="53" fillId="0" borderId="0"/>
    <xf numFmtId="0" fontId="53" fillId="0" borderId="0"/>
    <xf numFmtId="168" fontId="53" fillId="0" borderId="0"/>
    <xf numFmtId="168" fontId="54" fillId="0" borderId="0"/>
    <xf numFmtId="0" fontId="54" fillId="0" borderId="0"/>
    <xf numFmtId="168" fontId="54" fillId="0" borderId="0"/>
    <xf numFmtId="168" fontId="55" fillId="0" borderId="0"/>
    <xf numFmtId="0" fontId="55" fillId="0" borderId="0"/>
    <xf numFmtId="168" fontId="55" fillId="0" borderId="0"/>
    <xf numFmtId="0" fontId="54" fillId="69" borderId="6"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6" fillId="0" borderId="0" applyNumberFormat="0" applyFill="0" applyBorder="0" applyAlignment="0" applyProtection="0">
      <alignment vertical="top"/>
      <protection locked="0"/>
    </xf>
    <xf numFmtId="169" fontId="56" fillId="0" borderId="0" applyNumberFormat="0" applyFill="0" applyBorder="0" applyAlignment="0" applyProtection="0">
      <alignment vertical="top"/>
      <protection locked="0"/>
    </xf>
    <xf numFmtId="168" fontId="56" fillId="0" borderId="0" applyNumberFormat="0" applyFill="0" applyBorder="0" applyAlignment="0" applyProtection="0">
      <alignment vertical="top"/>
      <protection locked="0"/>
    </xf>
    <xf numFmtId="168" fontId="57" fillId="0" borderId="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8" fontId="60"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8" fontId="60"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9" fontId="60"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9" fillId="7" borderId="24"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0" fontId="58"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168" fontId="60" fillId="42" borderId="31" applyNumberFormat="0" applyAlignment="0" applyProtection="0"/>
    <xf numFmtId="169" fontId="60" fillId="42" borderId="31" applyNumberFormat="0" applyAlignment="0" applyProtection="0"/>
    <xf numFmtId="168" fontId="60" fillId="42" borderId="31" applyNumberFormat="0" applyAlignment="0" applyProtection="0"/>
    <xf numFmtId="0" fontId="58" fillId="42" borderId="31" applyNumberFormat="0" applyAlignment="0" applyProtection="0"/>
    <xf numFmtId="3" fontId="2" fillId="71" borderId="3" applyFont="0">
      <alignment horizontal="right" vertical="center"/>
      <protection locked="0"/>
    </xf>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0" fontId="61" fillId="0" borderId="37" applyNumberFormat="0" applyFill="0" applyAlignment="0" applyProtection="0"/>
    <xf numFmtId="0" fontId="62" fillId="0" borderId="26"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0" fontId="61" fillId="0" borderId="37"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168" fontId="63" fillId="0" borderId="37" applyNumberFormat="0" applyFill="0" applyAlignment="0" applyProtection="0"/>
    <xf numFmtId="169" fontId="63" fillId="0" borderId="37" applyNumberFormat="0" applyFill="0" applyAlignment="0" applyProtection="0"/>
    <xf numFmtId="168" fontId="63" fillId="0" borderId="37" applyNumberFormat="0" applyFill="0" applyAlignment="0" applyProtection="0"/>
    <xf numFmtId="0" fontId="61" fillId="0" borderId="37"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4" fillId="72" borderId="0" applyNumberFormat="0" applyBorder="0" applyAlignment="0" applyProtection="0"/>
    <xf numFmtId="0" fontId="65" fillId="6"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0" fontId="64" fillId="72"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0" fontId="64" fillId="72" borderId="0" applyNumberFormat="0" applyBorder="0" applyAlignment="0" applyProtection="0"/>
    <xf numFmtId="1" fontId="67" fillId="0" borderId="0" applyProtection="0"/>
    <xf numFmtId="168" fontId="18" fillId="0" borderId="38"/>
    <xf numFmtId="169" fontId="18" fillId="0" borderId="38"/>
    <xf numFmtId="168" fontId="18" fillId="0" borderId="38"/>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68" fillId="0" borderId="0"/>
    <xf numFmtId="181" fontId="2" fillId="0" borderId="0"/>
    <xf numFmtId="179" fontId="20"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9" fillId="0" borderId="0"/>
    <xf numFmtId="0" fontId="69" fillId="0" borderId="0"/>
    <xf numFmtId="0" fontId="68" fillId="0" borderId="0"/>
    <xf numFmtId="179" fontId="20" fillId="0" borderId="0"/>
    <xf numFmtId="179" fontId="2" fillId="0" borderId="0"/>
    <xf numFmtId="179" fontId="2" fillId="0" borderId="0"/>
    <xf numFmtId="0" fontId="2" fillId="0" borderId="0"/>
    <xf numFmtId="0" fontId="2"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0" fillId="0" borderId="0"/>
    <xf numFmtId="0" fontId="20" fillId="0" borderId="0"/>
    <xf numFmtId="168" fontId="20" fillId="0" borderId="0"/>
    <xf numFmtId="0" fontId="2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0" fillId="0" borderId="0"/>
    <xf numFmtId="168" fontId="20" fillId="0" borderId="0"/>
    <xf numFmtId="0" fontId="20" fillId="0" borderId="0"/>
    <xf numFmtId="0" fontId="20" fillId="0" borderId="0"/>
    <xf numFmtId="0" fontId="2"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9" fillId="0" borderId="0"/>
    <xf numFmtId="179" fontId="20" fillId="0" borderId="0"/>
    <xf numFmtId="179" fontId="2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20" fillId="0" borderId="0"/>
    <xf numFmtId="179" fontId="20" fillId="0" borderId="0"/>
    <xf numFmtId="179" fontId="20" fillId="0" borderId="0"/>
    <xf numFmtId="179"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0" fillId="0" borderId="0"/>
    <xf numFmtId="179" fontId="2"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0" fontId="20" fillId="0" borderId="0"/>
    <xf numFmtId="0" fontId="2" fillId="0" borderId="0"/>
    <xf numFmtId="0" fontId="19" fillId="0" borderId="0"/>
    <xf numFmtId="168" fontId="17" fillId="0" borderId="0"/>
    <xf numFmtId="0" fontId="2" fillId="0" borderId="0"/>
    <xf numFmtId="0" fontId="1" fillId="0" borderId="0"/>
    <xf numFmtId="0" fontId="1"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79" fontId="2" fillId="0" borderId="0"/>
    <xf numFmtId="0" fontId="20" fillId="0" borderId="0"/>
    <xf numFmtId="0" fontId="20" fillId="0" borderId="0"/>
    <xf numFmtId="168" fontId="17" fillId="0" borderId="0"/>
    <xf numFmtId="0" fontId="57" fillId="0" borderId="0"/>
    <xf numFmtId="0" fontId="2" fillId="0" borderId="0"/>
    <xf numFmtId="168" fontId="17" fillId="0" borderId="0"/>
    <xf numFmtId="0" fontId="1"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168" fontId="17" fillId="0" borderId="0"/>
    <xf numFmtId="168" fontId="17" fillId="0" borderId="0"/>
    <xf numFmtId="0" fontId="1" fillId="0" borderId="0"/>
    <xf numFmtId="179" fontId="20" fillId="0" borderId="0"/>
    <xf numFmtId="179" fontId="20" fillId="0" borderId="0"/>
    <xf numFmtId="179" fontId="2" fillId="0" borderId="0"/>
    <xf numFmtId="0" fontId="2" fillId="0" borderId="0"/>
    <xf numFmtId="179" fontId="2" fillId="0" borderId="0"/>
    <xf numFmtId="0" fontId="2" fillId="0" borderId="0"/>
    <xf numFmtId="179" fontId="2"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0" fillId="0" borderId="0"/>
    <xf numFmtId="168" fontId="17" fillId="0" borderId="0"/>
    <xf numFmtId="168" fontId="17" fillId="0" borderId="0"/>
    <xf numFmtId="0" fontId="1" fillId="0" borderId="0"/>
    <xf numFmtId="179" fontId="20" fillId="0" borderId="0"/>
    <xf numFmtId="179" fontId="20"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179" fontId="20"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8" fillId="0" borderId="0"/>
    <xf numFmtId="179" fontId="20"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79" fontId="2"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8" fillId="69"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8" fillId="69"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179" fontId="18" fillId="0" borderId="0"/>
    <xf numFmtId="0" fontId="6"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179" fontId="6" fillId="0" borderId="0"/>
    <xf numFmtId="0" fontId="18" fillId="0" borderId="0"/>
    <xf numFmtId="179" fontId="18" fillId="0" borderId="0"/>
    <xf numFmtId="0" fontId="18" fillId="0" borderId="0"/>
    <xf numFmtId="0" fontId="2" fillId="0" borderId="0"/>
    <xf numFmtId="0" fontId="1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18" fillId="0" borderId="0"/>
    <xf numFmtId="179" fontId="6"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8" fillId="0" borderId="0"/>
    <xf numFmtId="0" fontId="18" fillId="0" borderId="0"/>
    <xf numFmtId="168" fontId="18" fillId="0" borderId="0"/>
    <xf numFmtId="0" fontId="6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8" fillId="0" borderId="0"/>
    <xf numFmtId="0" fontId="6" fillId="0" borderId="0"/>
    <xf numFmtId="0" fontId="68" fillId="0" borderId="0"/>
    <xf numFmtId="168" fontId="6" fillId="0" borderId="0"/>
    <xf numFmtId="0" fontId="68" fillId="0" borderId="0"/>
    <xf numFmtId="168" fontId="6" fillId="0" borderId="0"/>
    <xf numFmtId="0" fontId="68"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179" fontId="6"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179" fontId="1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179" fontId="18"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179" fontId="18" fillId="0" borderId="0"/>
    <xf numFmtId="179" fontId="18"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6" fillId="0" borderId="0"/>
    <xf numFmtId="0" fontId="2" fillId="0" borderId="0"/>
    <xf numFmtId="0" fontId="68" fillId="0" borderId="0"/>
    <xf numFmtId="168" fontId="3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0" fontId="2"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79" fontId="2"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169" fontId="2"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68"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168" fontId="2" fillId="0" borderId="0"/>
    <xf numFmtId="0" fontId="68"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68"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2" fillId="0" borderId="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168" fontId="2" fillId="0" borderId="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19" fillId="73" borderId="39" applyNumberFormat="0" applyFont="0" applyAlignment="0" applyProtection="0"/>
    <xf numFmtId="168" fontId="2" fillId="0" borderId="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169" fontId="2" fillId="0" borderId="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2" fillId="0" borderId="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0" fillId="10" borderId="28"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19"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169"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0" fontId="2" fillId="73" borderId="39" applyNumberFormat="0" applyFont="0" applyAlignment="0" applyProtection="0"/>
    <xf numFmtId="169" fontId="2" fillId="0" borderId="0"/>
    <xf numFmtId="168"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0" fontId="2" fillId="73" borderId="39" applyNumberFormat="0" applyFont="0" applyAlignment="0" applyProtection="0"/>
    <xf numFmtId="169"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168" fontId="2" fillId="0" borderId="0"/>
    <xf numFmtId="0" fontId="2" fillId="73" borderId="39" applyNumberFormat="0" applyFont="0" applyAlignment="0" applyProtection="0"/>
    <xf numFmtId="0" fontId="2" fillId="73" borderId="39" applyNumberFormat="0" applyFont="0" applyAlignment="0" applyProtection="0"/>
    <xf numFmtId="169" fontId="2" fillId="0" borderId="0"/>
    <xf numFmtId="168" fontId="2" fillId="0" borderId="0"/>
    <xf numFmtId="168" fontId="2" fillId="0" borderId="0"/>
    <xf numFmtId="0" fontId="2"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0" fontId="2" fillId="73" borderId="39"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3"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4" fillId="0" borderId="0"/>
    <xf numFmtId="0" fontId="74" fillId="0" borderId="0"/>
    <xf numFmtId="168" fontId="74" fillId="0" borderId="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8" fontId="77"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8" fontId="77"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9" fontId="77"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6" fillId="8" borderId="25"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0" fontId="75"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168" fontId="77" fillId="63" borderId="40" applyNumberFormat="0" applyAlignment="0" applyProtection="0"/>
    <xf numFmtId="169" fontId="77" fillId="63" borderId="40" applyNumberFormat="0" applyAlignment="0" applyProtection="0"/>
    <xf numFmtId="168" fontId="77" fillId="63" borderId="40" applyNumberFormat="0" applyAlignment="0" applyProtection="0"/>
    <xf numFmtId="0" fontId="75" fillId="63" borderId="40" applyNumberFormat="0" applyAlignment="0" applyProtection="0"/>
    <xf numFmtId="0" fontId="17" fillId="0" borderId="0"/>
    <xf numFmtId="175" fontId="29" fillId="0" borderId="0" applyFont="0" applyFill="0" applyBorder="0" applyAlignment="0" applyProtection="0"/>
    <xf numFmtId="186"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78"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168" fontId="2" fillId="0" borderId="0"/>
    <xf numFmtId="0" fontId="2" fillId="0" borderId="0"/>
    <xf numFmtId="168" fontId="2" fillId="0" borderId="0"/>
    <xf numFmtId="187" fontId="57" fillId="0" borderId="3" applyNumberFormat="0">
      <alignment horizontal="center" vertical="top" wrapText="1"/>
    </xf>
    <xf numFmtId="0" fontId="79"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0" fillId="0" borderId="0"/>
    <xf numFmtId="0" fontId="17" fillId="0" borderId="0"/>
    <xf numFmtId="0" fontId="81" fillId="0" borderId="0"/>
    <xf numFmtId="0" fontId="81" fillId="0" borderId="0"/>
    <xf numFmtId="168" fontId="17" fillId="0" borderId="0"/>
    <xf numFmtId="168" fontId="17" fillId="0" borderId="0"/>
    <xf numFmtId="0" fontId="82" fillId="0" borderId="0"/>
    <xf numFmtId="0" fontId="83" fillId="0" borderId="0"/>
    <xf numFmtId="0" fontId="82" fillId="0" borderId="0"/>
    <xf numFmtId="0" fontId="82" fillId="0" borderId="0"/>
    <xf numFmtId="0" fontId="82" fillId="0" borderId="0"/>
    <xf numFmtId="0" fontId="82" fillId="0" borderId="0"/>
    <xf numFmtId="0" fontId="82" fillId="0" borderId="0"/>
    <xf numFmtId="49" fontId="38" fillId="0" borderId="0" applyFill="0" applyBorder="0" applyAlignment="0"/>
    <xf numFmtId="189" fontId="29" fillId="0" borderId="0" applyFill="0" applyBorder="0" applyAlignment="0"/>
    <xf numFmtId="190" fontId="29" fillId="0" borderId="0" applyFill="0" applyBorder="0" applyAlignment="0"/>
    <xf numFmtId="0" fontId="84" fillId="0" borderId="0">
      <alignment horizontal="center" vertical="top"/>
    </xf>
    <xf numFmtId="0" fontId="85" fillId="0" borderId="0" applyNumberFormat="0" applyFill="0" applyBorder="0" applyAlignment="0" applyProtection="0"/>
    <xf numFmtId="169" fontId="85" fillId="0" borderId="0" applyNumberFormat="0" applyFill="0" applyBorder="0" applyAlignment="0" applyProtection="0"/>
    <xf numFmtId="0"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0" fontId="85" fillId="0" borderId="0" applyNumberFormat="0" applyFill="0" applyBorder="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8" fontId="86"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8" fontId="86"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9" fontId="86"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4" fillId="0" borderId="29"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168" fontId="86" fillId="0" borderId="41" applyNumberFormat="0" applyFill="0" applyAlignment="0" applyProtection="0"/>
    <xf numFmtId="169" fontId="86" fillId="0" borderId="41" applyNumberFormat="0" applyFill="0" applyAlignment="0" applyProtection="0"/>
    <xf numFmtId="168" fontId="86" fillId="0" borderId="41" applyNumberFormat="0" applyFill="0" applyAlignment="0" applyProtection="0"/>
    <xf numFmtId="0" fontId="39" fillId="0" borderId="41" applyNumberFormat="0" applyFill="0" applyAlignment="0" applyProtection="0"/>
    <xf numFmtId="0" fontId="17" fillId="0" borderId="42"/>
    <xf numFmtId="185" fontId="7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18" fillId="0" borderId="0" applyFont="0" applyFill="0" applyBorder="0" applyAlignment="0" applyProtection="0"/>
    <xf numFmtId="192" fontId="2" fillId="0" borderId="0" applyFont="0" applyFill="0" applyBorder="0" applyAlignment="0" applyProtection="0"/>
    <xf numFmtId="0" fontId="87" fillId="0" borderId="0" applyNumberFormat="0" applyFill="0" applyBorder="0" applyAlignment="0" applyProtection="0"/>
    <xf numFmtId="0" fontId="16"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0" fontId="8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7" fillId="0" borderId="0" applyNumberFormat="0" applyFill="0" applyBorder="0" applyAlignment="0" applyProtection="0"/>
    <xf numFmtId="1" fontId="89" fillId="0" borderId="0" applyFill="0" applyProtection="0">
      <alignment horizontal="right"/>
    </xf>
    <xf numFmtId="42" fontId="90" fillId="0" borderId="0" applyFont="0" applyFill="0" applyBorder="0" applyAlignment="0" applyProtection="0"/>
    <xf numFmtId="44" fontId="90" fillId="0" borderId="0" applyFont="0" applyFill="0" applyBorder="0" applyAlignment="0" applyProtection="0"/>
    <xf numFmtId="0" fontId="91" fillId="0" borderId="0"/>
    <xf numFmtId="0" fontId="92" fillId="0" borderId="0"/>
    <xf numFmtId="38" fontId="18" fillId="0" borderId="0" applyFont="0" applyFill="0" applyBorder="0" applyAlignment="0" applyProtection="0"/>
    <xf numFmtId="40" fontId="18" fillId="0" borderId="0" applyFont="0" applyFill="0" applyBorder="0" applyAlignment="0" applyProtection="0"/>
    <xf numFmtId="41" fontId="90" fillId="0" borderId="0" applyFont="0" applyFill="0" applyBorder="0" applyAlignment="0" applyProtection="0"/>
    <xf numFmtId="43" fontId="90" fillId="0" borderId="0" applyFont="0" applyFill="0" applyBorder="0" applyAlignment="0" applyProtection="0"/>
    <xf numFmtId="0" fontId="2" fillId="0" borderId="0"/>
    <xf numFmtId="9" fontId="1" fillId="0" borderId="0" applyFont="0" applyFill="0" applyBorder="0" applyAlignment="0" applyProtection="0"/>
    <xf numFmtId="0" fontId="39"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168" fontId="86" fillId="0" borderId="92" applyNumberFormat="0" applyFill="0" applyAlignment="0" applyProtection="0"/>
    <xf numFmtId="169" fontId="86" fillId="0" borderId="92" applyNumberFormat="0" applyFill="0" applyAlignment="0" applyProtection="0"/>
    <xf numFmtId="168"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69"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68"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68" fontId="86"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0" fontId="39" fillId="0" borderId="92" applyNumberFormat="0" applyFill="0" applyAlignment="0" applyProtection="0"/>
    <xf numFmtId="188" fontId="2" fillId="69" borderId="86" applyFont="0">
      <alignment horizontal="right" vertical="center"/>
    </xf>
    <xf numFmtId="3" fontId="2" fillId="69" borderId="86" applyFont="0">
      <alignment horizontal="right" vertical="center"/>
    </xf>
    <xf numFmtId="0" fontId="75"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168" fontId="77" fillId="63" borderId="91" applyNumberFormat="0" applyAlignment="0" applyProtection="0"/>
    <xf numFmtId="169" fontId="77" fillId="63" borderId="91" applyNumberFormat="0" applyAlignment="0" applyProtection="0"/>
    <xf numFmtId="168"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169"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168"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168" fontId="77"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0" fontId="75" fillId="63" borderId="91" applyNumberFormat="0" applyAlignment="0" applyProtection="0"/>
    <xf numFmtId="3" fontId="2" fillId="74" borderId="86" applyFont="0">
      <alignment horizontal="right" vertical="center"/>
      <protection locked="0"/>
    </xf>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2"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0" fontId="19" fillId="73" borderId="90" applyNumberFormat="0" applyFont="0" applyAlignment="0" applyProtection="0"/>
    <xf numFmtId="3" fontId="2" fillId="71" borderId="86" applyFont="0">
      <alignment horizontal="right" vertical="center"/>
      <protection locked="0"/>
    </xf>
    <xf numFmtId="0" fontId="58"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168" fontId="60" fillId="42" borderId="89" applyNumberFormat="0" applyAlignment="0" applyProtection="0"/>
    <xf numFmtId="169" fontId="60" fillId="42" borderId="89" applyNumberFormat="0" applyAlignment="0" applyProtection="0"/>
    <xf numFmtId="168"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169"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168"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168" fontId="60"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58" fillId="42" borderId="89" applyNumberFormat="0" applyAlignment="0" applyProtection="0"/>
    <xf numFmtId="0" fontId="2" fillId="70" borderId="87" applyNumberFormat="0" applyFont="0" applyBorder="0" applyProtection="0">
      <alignment horizontal="left" vertical="center"/>
    </xf>
    <xf numFmtId="9" fontId="2" fillId="70" borderId="86" applyFont="0" applyProtection="0">
      <alignment horizontal="right" vertical="center"/>
    </xf>
    <xf numFmtId="3" fontId="2" fillId="70" borderId="86" applyFont="0" applyProtection="0">
      <alignment horizontal="right" vertical="center"/>
    </xf>
    <xf numFmtId="0" fontId="54" fillId="69" borderId="87" applyFont="0" applyBorder="0">
      <alignment horizontal="center" wrapText="1"/>
    </xf>
    <xf numFmtId="168" fontId="46" fillId="0" borderId="84">
      <alignment horizontal="left" vertical="center"/>
    </xf>
    <xf numFmtId="0" fontId="46" fillId="0" borderId="84">
      <alignment horizontal="left" vertical="center"/>
    </xf>
    <xf numFmtId="0" fontId="46" fillId="0" borderId="84">
      <alignment horizontal="left" vertical="center"/>
    </xf>
    <xf numFmtId="0" fontId="2" fillId="68" borderId="86" applyNumberFormat="0" applyFont="0" applyBorder="0" applyProtection="0">
      <alignment horizontal="center" vertical="center"/>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28" fillId="0" borderId="86" applyNumberFormat="0" applyAlignment="0">
      <alignment horizontal="right"/>
      <protection locked="0"/>
    </xf>
    <xf numFmtId="0" fontId="30"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168" fontId="32" fillId="63" borderId="89" applyNumberFormat="0" applyAlignment="0" applyProtection="0"/>
    <xf numFmtId="169" fontId="32" fillId="63" borderId="89" applyNumberFormat="0" applyAlignment="0" applyProtection="0"/>
    <xf numFmtId="168"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169"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168"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168" fontId="32"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30" fillId="63" borderId="89" applyNumberFormat="0" applyAlignment="0" applyProtection="0"/>
    <xf numFmtId="0" fontId="1" fillId="0" borderId="0"/>
    <xf numFmtId="169" fontId="18" fillId="36" borderId="0"/>
    <xf numFmtId="0" fontId="2" fillId="0" borderId="0">
      <alignment vertical="center"/>
    </xf>
    <xf numFmtId="164" fontId="1" fillId="0" borderId="0" applyFont="0" applyFill="0" applyBorder="0" applyAlignment="0" applyProtection="0"/>
    <xf numFmtId="0" fontId="111" fillId="0" borderId="0"/>
    <xf numFmtId="0" fontId="1" fillId="0" borderId="0"/>
    <xf numFmtId="0" fontId="1" fillId="0" borderId="0"/>
  </cellStyleXfs>
  <cellXfs count="968">
    <xf numFmtId="0" fontId="0" fillId="0" borderId="0" xfId="0"/>
    <xf numFmtId="0" fontId="3" fillId="0" borderId="0" xfId="0" applyFont="1"/>
    <xf numFmtId="0" fontId="10" fillId="0" borderId="0" xfId="0" applyFont="1"/>
    <xf numFmtId="0" fontId="7" fillId="0" borderId="13" xfId="0" applyFont="1" applyBorder="1" applyAlignment="1">
      <alignment vertical="center"/>
    </xf>
    <xf numFmtId="0" fontId="7" fillId="0" borderId="0" xfId="11" applyFont="1"/>
    <xf numFmtId="0" fontId="7" fillId="0" borderId="0" xfId="0" applyFont="1"/>
    <xf numFmtId="0" fontId="7" fillId="0" borderId="0" xfId="0" applyFont="1" applyAlignment="1">
      <alignment horizontal="right"/>
    </xf>
    <xf numFmtId="0" fontId="10" fillId="0" borderId="0" xfId="0" applyFont="1" applyAlignment="1">
      <alignment wrapText="1"/>
    </xf>
    <xf numFmtId="0" fontId="15" fillId="0" borderId="0" xfId="0" applyFont="1" applyAlignment="1">
      <alignment horizontal="center" vertical="center"/>
    </xf>
    <xf numFmtId="0" fontId="15" fillId="0" borderId="0" xfId="0" applyFont="1" applyAlignment="1">
      <alignment vertical="center"/>
    </xf>
    <xf numFmtId="0" fontId="3" fillId="0" borderId="0" xfId="0" applyFont="1" applyAlignment="1">
      <alignment horizontal="center" vertical="center"/>
    </xf>
    <xf numFmtId="0" fontId="15" fillId="0" borderId="0" xfId="0" applyFont="1"/>
    <xf numFmtId="0" fontId="7" fillId="0" borderId="1" xfId="0" applyFont="1" applyBorder="1"/>
    <xf numFmtId="0" fontId="5" fillId="0" borderId="0" xfId="11" applyFont="1" applyAlignment="1">
      <alignment vertical="center"/>
    </xf>
    <xf numFmtId="0" fontId="7" fillId="2" borderId="16" xfId="0" applyFont="1" applyFill="1" applyBorder="1" applyAlignment="1">
      <alignment horizontal="right" vertical="center"/>
    </xf>
    <xf numFmtId="0" fontId="93" fillId="0" borderId="3" xfId="20960" applyFont="1" applyBorder="1" applyAlignment="1">
      <alignment horizontal="center" vertical="center"/>
    </xf>
    <xf numFmtId="0" fontId="12" fillId="0" borderId="0" xfId="0" applyFont="1" applyAlignment="1" applyProtection="1">
      <alignment horizontal="right"/>
      <protection locked="0"/>
    </xf>
    <xf numFmtId="0" fontId="8" fillId="0" borderId="1" xfId="0" applyFont="1" applyBorder="1" applyAlignment="1">
      <alignment horizontal="center"/>
    </xf>
    <xf numFmtId="0" fontId="96" fillId="0" borderId="0" xfId="0" applyFont="1"/>
    <xf numFmtId="49" fontId="96" fillId="0" borderId="5" xfId="0" applyNumberFormat="1" applyFont="1" applyBorder="1" applyAlignment="1">
      <alignment horizontal="right" vertical="center"/>
    </xf>
    <xf numFmtId="49" fontId="96" fillId="0" borderId="63" xfId="0" applyNumberFormat="1" applyFont="1" applyBorder="1" applyAlignment="1">
      <alignment horizontal="right" vertical="center"/>
    </xf>
    <xf numFmtId="49" fontId="96" fillId="0" borderId="66" xfId="0" applyNumberFormat="1" applyFont="1" applyBorder="1" applyAlignment="1">
      <alignment horizontal="right" vertical="center"/>
    </xf>
    <xf numFmtId="49" fontId="96" fillId="0" borderId="71" xfId="0" applyNumberFormat="1" applyFont="1" applyBorder="1" applyAlignment="1">
      <alignment horizontal="right" vertical="center"/>
    </xf>
    <xf numFmtId="0" fontId="96" fillId="0" borderId="0" xfId="0" applyFont="1" applyAlignment="1">
      <alignment horizontal="left"/>
    </xf>
    <xf numFmtId="0" fontId="96" fillId="0" borderId="71" xfId="0" applyFont="1" applyBorder="1" applyAlignment="1">
      <alignment horizontal="right" vertical="center"/>
    </xf>
    <xf numFmtId="49" fontId="96" fillId="0" borderId="0" xfId="0" applyNumberFormat="1" applyFont="1" applyAlignment="1">
      <alignment horizontal="right" vertical="center"/>
    </xf>
    <xf numFmtId="0" fontId="96" fillId="0" borderId="0" xfId="0" applyFont="1" applyAlignment="1">
      <alignment vertical="center" wrapText="1"/>
    </xf>
    <xf numFmtId="0" fontId="96" fillId="0" borderId="0" xfId="0" applyFont="1" applyAlignment="1">
      <alignment horizontal="left" vertical="center" wrapText="1"/>
    </xf>
    <xf numFmtId="193" fontId="7" fillId="2" borderId="17" xfId="0" applyNumberFormat="1" applyFont="1" applyFill="1" applyBorder="1" applyAlignment="1" applyProtection="1">
      <alignment vertical="center"/>
      <protection locked="0"/>
    </xf>
    <xf numFmtId="0" fontId="7" fillId="0" borderId="10" xfId="0" applyFont="1" applyBorder="1" applyAlignment="1">
      <alignment horizontal="right" vertical="center" wrapText="1"/>
    </xf>
    <xf numFmtId="0" fontId="96" fillId="0" borderId="73" xfId="0" applyFont="1" applyBorder="1" applyAlignment="1">
      <alignment horizontal="right" vertical="center"/>
    </xf>
    <xf numFmtId="0" fontId="3" fillId="0" borderId="0" xfId="0" applyFont="1" applyAlignment="1">
      <alignment horizontal="left" vertical="center"/>
    </xf>
    <xf numFmtId="0" fontId="98" fillId="0" borderId="0" xfId="0" applyFont="1" applyAlignment="1">
      <alignment horizontal="left" vertical="center"/>
    </xf>
    <xf numFmtId="0" fontId="93" fillId="0" borderId="86" xfId="20960" applyFont="1" applyBorder="1" applyAlignment="1">
      <alignment horizontal="center" vertical="center"/>
    </xf>
    <xf numFmtId="0" fontId="8" fillId="0" borderId="6" xfId="0" applyFont="1" applyBorder="1" applyAlignment="1">
      <alignment horizontal="center" vertical="center" wrapText="1"/>
    </xf>
    <xf numFmtId="0" fontId="7" fillId="0" borderId="103" xfId="0" applyFont="1" applyBorder="1" applyAlignment="1">
      <alignment horizontal="right" vertical="center" wrapText="1"/>
    </xf>
    <xf numFmtId="0" fontId="8" fillId="0" borderId="101" xfId="0" applyFont="1" applyBorder="1" applyAlignment="1">
      <alignment horizontal="center" vertical="center" wrapText="1"/>
    </xf>
    <xf numFmtId="0" fontId="7" fillId="0" borderId="103" xfId="0" applyFont="1" applyBorder="1" applyAlignment="1">
      <alignment horizontal="center" vertical="center" wrapText="1"/>
    </xf>
    <xf numFmtId="0" fontId="7" fillId="2" borderId="103" xfId="0" applyFont="1" applyFill="1" applyBorder="1" applyAlignment="1">
      <alignment horizontal="right" vertical="center"/>
    </xf>
    <xf numFmtId="0" fontId="7" fillId="2" borderId="86" xfId="0" applyFont="1" applyFill="1" applyBorder="1" applyAlignment="1">
      <alignment vertical="center"/>
    </xf>
    <xf numFmtId="193" fontId="7" fillId="2" borderId="86" xfId="0" applyNumberFormat="1" applyFont="1" applyFill="1" applyBorder="1" applyAlignment="1" applyProtection="1">
      <alignment vertical="center"/>
      <protection locked="0"/>
    </xf>
    <xf numFmtId="0" fontId="7" fillId="2" borderId="94" xfId="0" applyFont="1" applyFill="1" applyBorder="1" applyAlignment="1">
      <alignment horizontal="right" vertical="center"/>
    </xf>
    <xf numFmtId="0" fontId="7" fillId="2" borderId="81" xfId="0" applyFont="1" applyFill="1" applyBorder="1" applyAlignment="1">
      <alignment vertical="center"/>
    </xf>
    <xf numFmtId="193" fontId="11" fillId="2" borderId="95" xfId="0" applyNumberFormat="1" applyFont="1" applyFill="1" applyBorder="1" applyAlignment="1" applyProtection="1">
      <alignment vertical="center"/>
      <protection locked="0"/>
    </xf>
    <xf numFmtId="0" fontId="7" fillId="0" borderId="86" xfId="0" applyFont="1" applyBorder="1" applyAlignment="1">
      <alignment horizontal="left" vertical="center" wrapText="1"/>
    </xf>
    <xf numFmtId="0" fontId="96" fillId="0" borderId="73" xfId="0" applyFont="1" applyBorder="1" applyAlignment="1">
      <alignment horizontal="left" vertical="center"/>
    </xf>
    <xf numFmtId="0" fontId="96" fillId="0" borderId="71" xfId="0" applyFont="1" applyBorder="1" applyAlignment="1">
      <alignment vertical="center" wrapText="1"/>
    </xf>
    <xf numFmtId="0" fontId="96" fillId="0" borderId="71" xfId="0" applyFont="1" applyBorder="1" applyAlignment="1">
      <alignment horizontal="left" vertical="center" wrapText="1"/>
    </xf>
    <xf numFmtId="0" fontId="100" fillId="0" borderId="0" xfId="11" applyFont="1"/>
    <xf numFmtId="0" fontId="101" fillId="0" borderId="0" xfId="0" applyFont="1"/>
    <xf numFmtId="0" fontId="102" fillId="0" borderId="0" xfId="11" applyFont="1"/>
    <xf numFmtId="0" fontId="103" fillId="0" borderId="117" xfId="0" applyFont="1" applyBorder="1" applyAlignment="1">
      <alignment horizontal="left" vertical="center" wrapText="1"/>
    </xf>
    <xf numFmtId="49" fontId="96" fillId="0" borderId="86" xfId="0" applyNumberFormat="1" applyFont="1" applyBorder="1" applyAlignment="1">
      <alignment horizontal="right" vertical="center"/>
    </xf>
    <xf numFmtId="0" fontId="109" fillId="0" borderId="0" xfId="0" applyFont="1"/>
    <xf numFmtId="0" fontId="101" fillId="0" borderId="0" xfId="0" applyFont="1" applyAlignment="1">
      <alignment horizontal="left" indent="1"/>
    </xf>
    <xf numFmtId="0" fontId="101" fillId="0" borderId="0" xfId="0" applyFont="1" applyAlignment="1">
      <alignment horizontal="left" indent="2"/>
    </xf>
    <xf numFmtId="49" fontId="101" fillId="0" borderId="0" xfId="0" applyNumberFormat="1" applyFont="1" applyAlignment="1">
      <alignment horizontal="left" indent="3"/>
    </xf>
    <xf numFmtId="49" fontId="101" fillId="0" borderId="0" xfId="0" applyNumberFormat="1" applyFont="1" applyAlignment="1">
      <alignment horizontal="left" indent="1"/>
    </xf>
    <xf numFmtId="49" fontId="101" fillId="0" borderId="0" xfId="0" applyNumberFormat="1" applyFont="1" applyAlignment="1">
      <alignment horizontal="left" wrapText="1" indent="2"/>
    </xf>
    <xf numFmtId="49" fontId="101" fillId="0" borderId="0" xfId="0" applyNumberFormat="1" applyFont="1" applyAlignment="1">
      <alignment horizontal="left" wrapText="1" indent="3"/>
    </xf>
    <xf numFmtId="0" fontId="101" fillId="0" borderId="0" xfId="0" applyFont="1" applyAlignment="1">
      <alignment horizontal="left" wrapText="1" indent="1"/>
    </xf>
    <xf numFmtId="0" fontId="7" fillId="0" borderId="124" xfId="0" applyFont="1" applyBorder="1" applyAlignment="1">
      <alignment horizontal="center" vertical="center" wrapText="1"/>
    </xf>
    <xf numFmtId="0" fontId="7" fillId="0" borderId="101" xfId="0" applyFont="1" applyBorder="1" applyAlignment="1">
      <alignment horizontal="center" vertical="center" wrapText="1"/>
    </xf>
    <xf numFmtId="49" fontId="96" fillId="0" borderId="124" xfId="0" applyNumberFormat="1" applyFont="1" applyBorder="1" applyAlignment="1">
      <alignment horizontal="right" vertical="center"/>
    </xf>
    <xf numFmtId="0" fontId="15" fillId="0" borderId="124" xfId="0" applyFont="1" applyBorder="1" applyAlignment="1">
      <alignment horizontal="center" vertical="center"/>
    </xf>
    <xf numFmtId="0" fontId="100" fillId="0" borderId="130" xfId="0" applyFont="1" applyBorder="1"/>
    <xf numFmtId="0" fontId="103" fillId="0" borderId="130" xfId="0" applyFont="1" applyBorder="1"/>
    <xf numFmtId="0" fontId="100" fillId="0" borderId="130" xfId="0" applyFont="1" applyBorder="1" applyAlignment="1">
      <alignment horizontal="center" vertical="center" wrapText="1"/>
    </xf>
    <xf numFmtId="0" fontId="100" fillId="0" borderId="131" xfId="0" applyFont="1" applyBorder="1" applyAlignment="1">
      <alignment horizontal="center" vertical="center" wrapText="1"/>
    </xf>
    <xf numFmtId="0" fontId="100" fillId="0" borderId="130" xfId="0" applyFont="1" applyBorder="1" applyAlignment="1">
      <alignment horizontal="center" vertical="center"/>
    </xf>
    <xf numFmtId="0" fontId="100" fillId="0" borderId="0" xfId="0" applyFont="1"/>
    <xf numFmtId="0" fontId="100" fillId="0" borderId="130" xfId="0" applyFont="1" applyBorder="1" applyAlignment="1">
      <alignment horizontal="left" vertical="center" wrapText="1"/>
    </xf>
    <xf numFmtId="0" fontId="103" fillId="0" borderId="130" xfId="0" applyFont="1" applyBorder="1" applyAlignment="1">
      <alignment horizontal="left" wrapText="1" indent="1"/>
    </xf>
    <xf numFmtId="0" fontId="103" fillId="0" borderId="130" xfId="0" applyFont="1" applyBorder="1" applyAlignment="1">
      <alignment horizontal="left" vertical="center" indent="1"/>
    </xf>
    <xf numFmtId="0" fontId="100" fillId="0" borderId="130" xfId="0" applyFont="1" applyBorder="1" applyAlignment="1">
      <alignment horizontal="left" indent="1"/>
    </xf>
    <xf numFmtId="0" fontId="100" fillId="0" borderId="130" xfId="0" applyFont="1" applyBorder="1" applyAlignment="1">
      <alignment horizontal="left" wrapText="1" indent="4"/>
    </xf>
    <xf numFmtId="0" fontId="100" fillId="0" borderId="130" xfId="0" applyFont="1" applyBorder="1" applyAlignment="1">
      <alignment horizontal="left" indent="3"/>
    </xf>
    <xf numFmtId="0" fontId="103" fillId="0" borderId="130" xfId="0" applyFont="1" applyBorder="1" applyAlignment="1">
      <alignment horizontal="left" indent="1"/>
    </xf>
    <xf numFmtId="0" fontId="100" fillId="78" borderId="130" xfId="0" applyFont="1" applyFill="1" applyBorder="1"/>
    <xf numFmtId="0" fontId="103" fillId="0" borderId="5" xfId="0" applyFont="1" applyBorder="1"/>
    <xf numFmtId="0" fontId="100" fillId="0" borderId="130" xfId="0" applyFont="1" applyBorder="1" applyAlignment="1">
      <alignment horizontal="left" wrapText="1" indent="2"/>
    </xf>
    <xf numFmtId="0" fontId="100" fillId="0" borderId="130" xfId="0" applyFont="1" applyBorder="1" applyAlignment="1">
      <alignment horizontal="left" wrapText="1"/>
    </xf>
    <xf numFmtId="0" fontId="100" fillId="0" borderId="0" xfId="0" applyFont="1" applyAlignment="1">
      <alignment horizontal="center" vertical="center"/>
    </xf>
    <xf numFmtId="0" fontId="100" fillId="0" borderId="5" xfId="0" applyFont="1" applyBorder="1" applyAlignment="1">
      <alignment horizontal="center" vertical="center" wrapText="1"/>
    </xf>
    <xf numFmtId="0" fontId="100" fillId="0" borderId="9" xfId="0" applyFont="1" applyBorder="1" applyAlignment="1">
      <alignment horizontal="center" vertical="center" wrapText="1"/>
    </xf>
    <xf numFmtId="0" fontId="100" fillId="0" borderId="0" xfId="0" applyFont="1" applyAlignment="1">
      <alignment horizontal="center" vertical="center" wrapText="1"/>
    </xf>
    <xf numFmtId="0" fontId="100" fillId="0" borderId="129" xfId="0" applyFont="1" applyBorder="1" applyAlignment="1">
      <alignment horizontal="center" vertical="center" wrapText="1"/>
    </xf>
    <xf numFmtId="0" fontId="100" fillId="0" borderId="132" xfId="0" applyFont="1" applyBorder="1" applyAlignment="1">
      <alignment horizontal="center" vertical="center" wrapText="1"/>
    </xf>
    <xf numFmtId="0" fontId="100" fillId="0" borderId="128" xfId="0" applyFont="1" applyBorder="1" applyAlignment="1">
      <alignment horizontal="center" vertical="center" wrapText="1"/>
    </xf>
    <xf numFmtId="0" fontId="100" fillId="0" borderId="0" xfId="0" applyFont="1" applyAlignment="1">
      <alignment horizontal="left"/>
    </xf>
    <xf numFmtId="0" fontId="103" fillId="0" borderId="130" xfId="0" applyFont="1" applyBorder="1" applyAlignment="1">
      <alignment horizontal="left" vertical="center" wrapText="1"/>
    </xf>
    <xf numFmtId="0" fontId="7" fillId="0" borderId="0" xfId="0" applyFont="1" applyAlignment="1">
      <alignment wrapText="1"/>
    </xf>
    <xf numFmtId="0" fontId="103" fillId="0" borderId="130" xfId="0" applyFont="1" applyBorder="1" applyAlignment="1">
      <alignment horizontal="center" vertical="center" wrapText="1"/>
    </xf>
    <xf numFmtId="0" fontId="105" fillId="0" borderId="0" xfId="0" applyFont="1" applyAlignment="1">
      <alignment horizontal="center" vertical="center"/>
    </xf>
    <xf numFmtId="0" fontId="100" fillId="0" borderId="122" xfId="0" applyFont="1" applyBorder="1" applyAlignment="1">
      <alignment vertical="center" wrapText="1" readingOrder="1"/>
    </xf>
    <xf numFmtId="0" fontId="100" fillId="0" borderId="121" xfId="0" applyFont="1" applyBorder="1" applyAlignment="1">
      <alignment vertical="center" wrapText="1" readingOrder="1"/>
    </xf>
    <xf numFmtId="0" fontId="96" fillId="0" borderId="130" xfId="0" applyFont="1" applyBorder="1" applyAlignment="1">
      <alignment vertical="center" wrapText="1"/>
    </xf>
    <xf numFmtId="0" fontId="96" fillId="0" borderId="130" xfId="0" applyFont="1" applyBorder="1" applyAlignment="1">
      <alignment horizontal="left" vertical="center" wrapText="1"/>
    </xf>
    <xf numFmtId="0" fontId="96" fillId="0" borderId="130" xfId="0" applyFont="1" applyBorder="1" applyAlignment="1">
      <alignment horizontal="left" indent="2"/>
    </xf>
    <xf numFmtId="0" fontId="96" fillId="0" borderId="130" xfId="0" applyFont="1" applyBorder="1" applyAlignment="1">
      <alignment horizontal="left" vertical="center" indent="1"/>
    </xf>
    <xf numFmtId="0" fontId="96" fillId="0" borderId="130" xfId="0" applyFont="1" applyBorder="1" applyAlignment="1">
      <alignment horizontal="left" vertical="center" wrapText="1" indent="1"/>
    </xf>
    <xf numFmtId="0" fontId="96" fillId="0" borderId="130" xfId="0" applyFont="1" applyBorder="1" applyAlignment="1">
      <alignment horizontal="right" vertical="center"/>
    </xf>
    <xf numFmtId="49" fontId="96" fillId="0" borderId="130" xfId="0" applyNumberFormat="1" applyFont="1" applyBorder="1" applyAlignment="1">
      <alignment horizontal="right" vertical="center"/>
    </xf>
    <xf numFmtId="49" fontId="96" fillId="0" borderId="130" xfId="0" applyNumberFormat="1" applyFont="1" applyBorder="1" applyAlignment="1">
      <alignment vertical="top" wrapText="1"/>
    </xf>
    <xf numFmtId="49" fontId="96" fillId="0" borderId="130" xfId="0" applyNumberFormat="1" applyFont="1" applyBorder="1" applyAlignment="1">
      <alignment horizontal="left" vertical="top" wrapText="1" indent="2"/>
    </xf>
    <xf numFmtId="49" fontId="96" fillId="0" borderId="130" xfId="0" applyNumberFormat="1" applyFont="1" applyBorder="1" applyAlignment="1">
      <alignment horizontal="left" vertical="center" wrapText="1" indent="3"/>
    </xf>
    <xf numFmtId="49" fontId="96" fillId="0" borderId="130" xfId="0" applyNumberFormat="1" applyFont="1" applyBorder="1" applyAlignment="1">
      <alignment horizontal="left" wrapText="1" indent="2"/>
    </xf>
    <xf numFmtId="49" fontId="96" fillId="0" borderId="130" xfId="0" applyNumberFormat="1" applyFont="1" applyBorder="1" applyAlignment="1">
      <alignment horizontal="left" vertical="top" wrapText="1"/>
    </xf>
    <xf numFmtId="49" fontId="96" fillId="0" borderId="130" xfId="0" applyNumberFormat="1" applyFont="1" applyBorder="1" applyAlignment="1">
      <alignment horizontal="left" wrapText="1" indent="3"/>
    </xf>
    <xf numFmtId="49" fontId="96" fillId="0" borderId="130" xfId="0" applyNumberFormat="1" applyFont="1" applyBorder="1" applyAlignment="1">
      <alignment vertical="center"/>
    </xf>
    <xf numFmtId="49" fontId="96" fillId="0" borderId="130" xfId="0" applyNumberFormat="1" applyFont="1" applyBorder="1" applyAlignment="1">
      <alignment horizontal="left" indent="3"/>
    </xf>
    <xf numFmtId="0" fontId="96" fillId="0" borderId="130" xfId="0" applyFont="1" applyBorder="1" applyAlignment="1">
      <alignment horizontal="left" indent="1"/>
    </xf>
    <xf numFmtId="0" fontId="96" fillId="0" borderId="130" xfId="0" applyFont="1" applyBorder="1" applyAlignment="1">
      <alignment horizontal="left" wrapText="1" indent="2"/>
    </xf>
    <xf numFmtId="0" fontId="96" fillId="0" borderId="130" xfId="0" applyFont="1" applyBorder="1" applyAlignment="1">
      <alignment horizontal="left" vertical="top" wrapText="1"/>
    </xf>
    <xf numFmtId="0" fontId="95" fillId="0" borderId="5" xfId="0" applyFont="1" applyBorder="1" applyAlignment="1">
      <alignment wrapText="1"/>
    </xf>
    <xf numFmtId="0" fontId="96" fillId="0" borderId="130" xfId="0" applyFont="1" applyBorder="1" applyAlignment="1">
      <alignment horizontal="left" wrapText="1"/>
    </xf>
    <xf numFmtId="0" fontId="96" fillId="0" borderId="130" xfId="12672" applyFont="1" applyBorder="1" applyAlignment="1">
      <alignment horizontal="left" vertical="center" wrapText="1" indent="2"/>
    </xf>
    <xf numFmtId="0" fontId="96" fillId="0" borderId="130" xfId="0" applyFont="1" applyBorder="1" applyAlignment="1">
      <alignment wrapText="1"/>
    </xf>
    <xf numFmtId="0" fontId="96" fillId="0" borderId="130" xfId="0" applyFont="1" applyBorder="1"/>
    <xf numFmtId="0" fontId="96" fillId="0" borderId="130" xfId="12672" applyFont="1" applyBorder="1" applyAlignment="1">
      <alignment horizontal="left" vertical="center" wrapText="1"/>
    </xf>
    <xf numFmtId="0" fontId="95" fillId="0" borderId="130" xfId="0" applyFont="1" applyBorder="1" applyAlignment="1">
      <alignment wrapText="1"/>
    </xf>
    <xf numFmtId="0" fontId="96" fillId="0" borderId="132" xfId="0" applyFont="1" applyBorder="1" applyAlignment="1">
      <alignment horizontal="left" vertical="center" wrapText="1"/>
    </xf>
    <xf numFmtId="0" fontId="96" fillId="3" borderId="130" xfId="5" applyFont="1" applyFill="1" applyBorder="1" applyAlignment="1" applyProtection="1">
      <alignment horizontal="right" vertical="center"/>
      <protection locked="0"/>
    </xf>
    <xf numFmtId="2" fontId="96" fillId="3" borderId="130" xfId="5" applyNumberFormat="1" applyFont="1" applyFill="1" applyBorder="1" applyAlignment="1" applyProtection="1">
      <alignment horizontal="right" vertical="center"/>
      <protection locked="0"/>
    </xf>
    <xf numFmtId="0" fontId="96" fillId="0" borderId="130" xfId="0" applyFont="1" applyBorder="1" applyAlignment="1">
      <alignment vertical="center"/>
    </xf>
    <xf numFmtId="0" fontId="96" fillId="0" borderId="131" xfId="0" applyFont="1" applyBorder="1" applyAlignment="1">
      <alignment vertical="center" wrapText="1"/>
    </xf>
    <xf numFmtId="0" fontId="108" fillId="0" borderId="0" xfId="0" applyFont="1" applyAlignment="1">
      <alignment horizontal="left" indent="2"/>
    </xf>
    <xf numFmtId="0" fontId="100" fillId="0" borderId="0" xfId="0" applyFont="1" applyAlignment="1">
      <alignment horizontal="left" vertical="center" indent="1"/>
    </xf>
    <xf numFmtId="0" fontId="100" fillId="0" borderId="0" xfId="0" applyFont="1" applyAlignment="1">
      <alignment vertical="center" wrapText="1"/>
    </xf>
    <xf numFmtId="0" fontId="110" fillId="0" borderId="0" xfId="0" applyFont="1" applyAlignment="1">
      <alignment horizontal="left" vertical="center" wrapText="1" readingOrder="1"/>
    </xf>
    <xf numFmtId="0" fontId="108" fillId="0" borderId="0" xfId="0" applyFont="1" applyAlignment="1">
      <alignment horizontal="left" vertical="center" wrapText="1"/>
    </xf>
    <xf numFmtId="0" fontId="100" fillId="0" borderId="0" xfId="0" applyFont="1" applyAlignment="1">
      <alignment horizontal="left" vertical="center" wrapText="1"/>
    </xf>
    <xf numFmtId="0" fontId="96" fillId="0" borderId="131" xfId="0" applyFont="1" applyBorder="1" applyAlignment="1">
      <alignment horizontal="left" indent="2"/>
    </xf>
    <xf numFmtId="0" fontId="96" fillId="0" borderId="123" xfId="0" applyFont="1" applyBorder="1" applyAlignment="1">
      <alignment horizontal="left" vertical="center" wrapText="1" readingOrder="1"/>
    </xf>
    <xf numFmtId="0" fontId="96" fillId="0" borderId="130" xfId="0" applyFont="1" applyBorder="1" applyAlignment="1">
      <alignment horizontal="left" vertical="center" wrapText="1" readingOrder="1"/>
    </xf>
    <xf numFmtId="0" fontId="96" fillId="0" borderId="0" xfId="0" applyFont="1" applyAlignment="1">
      <alignment wrapText="1"/>
    </xf>
    <xf numFmtId="49" fontId="114" fillId="0" borderId="86" xfId="0" applyNumberFormat="1" applyFont="1" applyBorder="1" applyAlignment="1">
      <alignment horizontal="right" vertical="center"/>
    </xf>
    <xf numFmtId="0" fontId="114" fillId="0" borderId="130" xfId="12672" applyFont="1" applyBorder="1" applyAlignment="1">
      <alignment horizontal="left" vertical="center" wrapText="1"/>
    </xf>
    <xf numFmtId="0" fontId="114" fillId="0" borderId="131" xfId="0" applyFont="1" applyBorder="1" applyAlignment="1">
      <alignment horizontal="left" vertical="top" wrapText="1"/>
    </xf>
    <xf numFmtId="193" fontId="11" fillId="2" borderId="130" xfId="0" applyNumberFormat="1" applyFont="1" applyFill="1" applyBorder="1" applyAlignment="1" applyProtection="1">
      <alignment vertical="center"/>
      <protection locked="0"/>
    </xf>
    <xf numFmtId="193" fontId="11" fillId="2" borderId="139" xfId="0" applyNumberFormat="1" applyFont="1" applyFill="1" applyBorder="1" applyAlignment="1" applyProtection="1">
      <alignment vertical="center"/>
      <protection locked="0"/>
    </xf>
    <xf numFmtId="193" fontId="7" fillId="2" borderId="130" xfId="0" applyNumberFormat="1" applyFont="1" applyFill="1" applyBorder="1" applyAlignment="1" applyProtection="1">
      <alignment vertical="center"/>
      <protection locked="0"/>
    </xf>
    <xf numFmtId="193" fontId="7" fillId="2" borderId="139" xfId="0" applyNumberFormat="1" applyFont="1" applyFill="1" applyBorder="1" applyAlignment="1" applyProtection="1">
      <alignment vertical="center"/>
      <protection locked="0"/>
    </xf>
    <xf numFmtId="193" fontId="11" fillId="2" borderId="131" xfId="0" applyNumberFormat="1" applyFont="1" applyFill="1" applyBorder="1" applyAlignment="1" applyProtection="1">
      <alignment vertical="center"/>
      <protection locked="0"/>
    </xf>
    <xf numFmtId="193" fontId="11" fillId="2" borderId="137" xfId="0" applyNumberFormat="1" applyFont="1" applyFill="1" applyBorder="1" applyAlignment="1" applyProtection="1">
      <alignment vertical="center"/>
      <protection locked="0"/>
    </xf>
    <xf numFmtId="193" fontId="11" fillId="2" borderId="136" xfId="0" applyNumberFormat="1" applyFont="1" applyFill="1" applyBorder="1" applyAlignment="1" applyProtection="1">
      <alignment vertical="center"/>
      <protection locked="0"/>
    </xf>
    <xf numFmtId="0" fontId="118" fillId="3" borderId="0" xfId="0" applyFont="1" applyFill="1"/>
    <xf numFmtId="0" fontId="100" fillId="0" borderId="130" xfId="0" applyFont="1" applyBorder="1" applyAlignment="1">
      <alignment horizontal="left" wrapText="1" indent="1"/>
    </xf>
    <xf numFmtId="0" fontId="96" fillId="0" borderId="133" xfId="13" applyFont="1" applyBorder="1" applyAlignment="1" applyProtection="1">
      <alignment horizontal="left" vertical="top" wrapText="1"/>
      <protection locked="0"/>
    </xf>
    <xf numFmtId="0" fontId="96" fillId="0" borderId="132" xfId="13" applyFont="1" applyBorder="1" applyAlignment="1" applyProtection="1">
      <alignment horizontal="left" vertical="top" wrapText="1"/>
      <protection locked="0"/>
    </xf>
    <xf numFmtId="0" fontId="96" fillId="0" borderId="130" xfId="0" applyFont="1" applyBorder="1" applyAlignment="1">
      <alignment horizontal="left" vertical="top" wrapText="1" indent="2"/>
    </xf>
    <xf numFmtId="0" fontId="96" fillId="0" borderId="131" xfId="0" applyFont="1" applyBorder="1" applyAlignment="1">
      <alignment horizontal="left" vertical="top" wrapText="1"/>
    </xf>
    <xf numFmtId="0" fontId="3" fillId="0" borderId="0" xfId="0" applyFont="1" applyAlignment="1">
      <alignment vertical="top"/>
    </xf>
    <xf numFmtId="0" fontId="7" fillId="0" borderId="103" xfId="0" applyFont="1" applyBorder="1" applyAlignment="1">
      <alignment horizontal="right" vertical="center"/>
    </xf>
    <xf numFmtId="0" fontId="7" fillId="0" borderId="86" xfId="0" applyFont="1" applyBorder="1" applyAlignment="1">
      <alignment vertical="center"/>
    </xf>
    <xf numFmtId="193" fontId="11" fillId="0" borderId="130" xfId="0" applyNumberFormat="1" applyFont="1" applyBorder="1" applyAlignment="1" applyProtection="1">
      <alignment vertical="center"/>
      <protection locked="0"/>
    </xf>
    <xf numFmtId="193" fontId="11" fillId="0" borderId="139" xfId="0" applyNumberFormat="1" applyFont="1" applyBorder="1" applyAlignment="1" applyProtection="1">
      <alignment vertical="center"/>
      <protection locked="0"/>
    </xf>
    <xf numFmtId="49" fontId="96" fillId="0" borderId="130" xfId="0" applyNumberFormat="1" applyFont="1" applyBorder="1" applyAlignment="1">
      <alignment horizontal="right" vertical="top"/>
    </xf>
    <xf numFmtId="0" fontId="96" fillId="0" borderId="130" xfId="0" applyFont="1" applyBorder="1" applyAlignment="1">
      <alignment horizontal="left" vertical="top"/>
    </xf>
    <xf numFmtId="0" fontId="96" fillId="0" borderId="0" xfId="0" applyFont="1" applyAlignment="1">
      <alignment vertical="top"/>
    </xf>
    <xf numFmtId="0" fontId="122" fillId="0" borderId="86" xfId="17" applyFont="1" applyFill="1" applyBorder="1" applyAlignment="1" applyProtection="1">
      <alignment horizontal="left" vertical="center" wrapText="1"/>
    </xf>
    <xf numFmtId="49" fontId="15" fillId="0" borderId="86" xfId="0" applyNumberFormat="1" applyFont="1" applyBorder="1" applyAlignment="1">
      <alignment horizontal="right" vertical="center" wrapText="1"/>
    </xf>
    <xf numFmtId="0" fontId="122" fillId="0" borderId="86" xfId="17" applyFont="1" applyFill="1" applyBorder="1" applyAlignment="1" applyProtection="1">
      <alignment horizontal="left" vertical="center"/>
    </xf>
    <xf numFmtId="0" fontId="123" fillId="0" borderId="0" xfId="0" applyFont="1"/>
    <xf numFmtId="0" fontId="8" fillId="0" borderId="1" xfId="0" applyFont="1" applyBorder="1" applyAlignment="1">
      <alignment horizontal="center" vertical="center"/>
    </xf>
    <xf numFmtId="0" fontId="7" fillId="0" borderId="11" xfId="0" applyFont="1" applyBorder="1" applyAlignment="1">
      <alignment vertical="center" wrapTex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8" fillId="0" borderId="86" xfId="0" applyFont="1" applyBorder="1" applyAlignment="1">
      <alignment horizontal="center" vertical="center" wrapText="1"/>
    </xf>
    <xf numFmtId="169" fontId="7" fillId="36" borderId="0" xfId="20" applyFont="1"/>
    <xf numFmtId="169" fontId="7" fillId="36" borderId="79" xfId="20" applyFont="1" applyBorder="1"/>
    <xf numFmtId="0" fontId="121" fillId="0" borderId="86" xfId="0" applyFont="1" applyBorder="1" applyAlignment="1">
      <alignment horizontal="left" vertical="center" wrapText="1"/>
    </xf>
    <xf numFmtId="0" fontId="7" fillId="0" borderId="86" xfId="0" applyFont="1" applyBorder="1" applyAlignment="1">
      <alignment vertical="center" wrapText="1"/>
    </xf>
    <xf numFmtId="193" fontId="15" fillId="0" borderId="130" xfId="0" applyNumberFormat="1" applyFont="1" applyBorder="1" applyAlignment="1" applyProtection="1">
      <alignment vertical="center" wrapText="1"/>
      <protection locked="0"/>
    </xf>
    <xf numFmtId="193" fontId="15" fillId="0" borderId="139" xfId="0" applyNumberFormat="1" applyFont="1" applyBorder="1" applyAlignment="1" applyProtection="1">
      <alignment vertical="center" wrapText="1"/>
      <protection locked="0"/>
    </xf>
    <xf numFmtId="10" fontId="15" fillId="0" borderId="130" xfId="20961" applyNumberFormat="1" applyFont="1" applyBorder="1" applyAlignment="1" applyProtection="1">
      <alignment vertical="center" wrapText="1"/>
      <protection locked="0"/>
    </xf>
    <xf numFmtId="10" fontId="15" fillId="0" borderId="139" xfId="20961" applyNumberFormat="1" applyFont="1" applyBorder="1" applyAlignment="1" applyProtection="1">
      <alignment vertical="center" wrapText="1"/>
      <protection locked="0"/>
    </xf>
    <xf numFmtId="169" fontId="7" fillId="0" borderId="0" xfId="20" applyFont="1" applyFill="1"/>
    <xf numFmtId="169" fontId="7" fillId="0" borderId="79" xfId="20" applyFont="1" applyFill="1" applyBorder="1"/>
    <xf numFmtId="10" fontId="15" fillId="0" borderId="130" xfId="20961" applyNumberFormat="1" applyFont="1" applyFill="1" applyBorder="1" applyAlignment="1" applyProtection="1">
      <alignment vertical="center" wrapText="1"/>
      <protection locked="0"/>
    </xf>
    <xf numFmtId="10" fontId="15" fillId="0" borderId="139" xfId="20961" applyNumberFormat="1" applyFont="1" applyFill="1" applyBorder="1" applyAlignment="1" applyProtection="1">
      <alignment vertical="center" wrapText="1"/>
      <protection locked="0"/>
    </xf>
    <xf numFmtId="0" fontId="8" fillId="0" borderId="103" xfId="0" applyFont="1" applyBorder="1" applyAlignment="1">
      <alignment horizontal="center" vertical="center" wrapText="1"/>
    </xf>
    <xf numFmtId="0" fontId="15" fillId="0" borderId="0" xfId="0" applyFont="1" applyAlignment="1">
      <alignment wrapText="1"/>
    </xf>
    <xf numFmtId="0" fontId="15" fillId="0" borderId="103" xfId="0" applyFont="1" applyBorder="1" applyAlignment="1">
      <alignment horizontal="center" vertical="center" wrapText="1"/>
    </xf>
    <xf numFmtId="0" fontId="15" fillId="0" borderId="86" xfId="0" applyFont="1" applyBorder="1" applyAlignment="1">
      <alignment vertical="center" wrapText="1"/>
    </xf>
    <xf numFmtId="0" fontId="15" fillId="0" borderId="16" xfId="0" applyFont="1" applyBorder="1" applyAlignment="1">
      <alignment horizontal="center" vertical="center" wrapText="1"/>
    </xf>
    <xf numFmtId="0" fontId="14" fillId="0" borderId="17" xfId="0" applyFont="1" applyBorder="1" applyAlignment="1">
      <alignment vertical="center" wrapText="1"/>
    </xf>
    <xf numFmtId="0" fontId="8" fillId="0" borderId="1" xfId="11" applyFont="1" applyBorder="1" applyAlignment="1">
      <alignment horizontal="left" vertical="center"/>
    </xf>
    <xf numFmtId="0" fontId="7" fillId="0" borderId="10" xfId="11" applyFont="1" applyBorder="1" applyAlignment="1">
      <alignment vertical="center"/>
    </xf>
    <xf numFmtId="0" fontId="7" fillId="0" borderId="11" xfId="11" applyFont="1" applyBorder="1" applyAlignment="1">
      <alignment vertical="center"/>
    </xf>
    <xf numFmtId="0" fontId="8" fillId="0" borderId="11" xfId="11" applyFont="1" applyBorder="1" applyAlignment="1">
      <alignment horizontal="center" vertical="center"/>
    </xf>
    <xf numFmtId="0" fontId="8" fillId="0" borderId="12" xfId="11" applyFont="1" applyBorder="1" applyAlignment="1">
      <alignment horizontal="center" vertical="center"/>
    </xf>
    <xf numFmtId="0" fontId="15" fillId="0" borderId="5" xfId="0" applyFont="1" applyBorder="1" applyAlignment="1">
      <alignment horizontal="center" vertical="center" wrapText="1"/>
    </xf>
    <xf numFmtId="0" fontId="15" fillId="0" borderId="51" xfId="0" applyFont="1" applyBorder="1" applyAlignment="1">
      <alignment horizontal="center" vertical="center" wrapText="1"/>
    </xf>
    <xf numFmtId="0" fontId="14" fillId="35" borderId="104" xfId="0" applyFont="1" applyFill="1" applyBorder="1" applyAlignment="1">
      <alignment vertical="center" wrapText="1"/>
    </xf>
    <xf numFmtId="0" fontId="8" fillId="0" borderId="0" xfId="11" applyFont="1" applyAlignment="1">
      <alignment horizontal="center" vertical="center" wrapTex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vertical="center"/>
    </xf>
    <xf numFmtId="0" fontId="14" fillId="0" borderId="0" xfId="0" applyFont="1" applyAlignment="1">
      <alignment horizontal="center"/>
    </xf>
    <xf numFmtId="0" fontId="7" fillId="0" borderId="10" xfId="9" applyFont="1" applyBorder="1" applyAlignment="1" applyProtection="1">
      <alignment horizontal="center" vertical="center"/>
      <protection locked="0"/>
    </xf>
    <xf numFmtId="0" fontId="8" fillId="3" borderId="4" xfId="9" applyFont="1" applyFill="1" applyBorder="1" applyAlignment="1" applyProtection="1">
      <alignment horizontal="center" vertical="center" wrapText="1"/>
      <protection locked="0"/>
    </xf>
    <xf numFmtId="165" fontId="7" fillId="3" borderId="12" xfId="2" applyNumberFormat="1" applyFont="1" applyFill="1" applyBorder="1" applyAlignment="1" applyProtection="1">
      <alignment horizontal="center" vertical="center"/>
      <protection locked="0"/>
    </xf>
    <xf numFmtId="0" fontId="7" fillId="0" borderId="13" xfId="9" applyFont="1" applyBorder="1" applyAlignment="1" applyProtection="1">
      <alignment horizontal="center" vertical="center"/>
      <protection locked="0"/>
    </xf>
    <xf numFmtId="0" fontId="7" fillId="3" borderId="5" xfId="13" applyFont="1" applyFill="1" applyBorder="1" applyAlignment="1" applyProtection="1">
      <alignment vertical="center" wrapText="1"/>
      <protection locked="0"/>
    </xf>
    <xf numFmtId="0" fontId="7" fillId="3" borderId="3"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5" xfId="13" applyFont="1" applyFill="1" applyBorder="1" applyAlignment="1" applyProtection="1">
      <alignment horizontal="lef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9" applyFont="1" applyBorder="1" applyAlignment="1" applyProtection="1">
      <alignment horizontal="left" vertical="center" wrapText="1"/>
      <protection locked="0"/>
    </xf>
    <xf numFmtId="0" fontId="7" fillId="0" borderId="13" xfId="9" applyFont="1" applyBorder="1" applyAlignment="1" applyProtection="1">
      <alignment horizontal="center" vertical="center" wrapText="1"/>
      <protection locked="0"/>
    </xf>
    <xf numFmtId="0" fontId="8" fillId="3" borderId="3" xfId="13" applyFont="1" applyFill="1" applyBorder="1" applyAlignment="1" applyProtection="1">
      <alignment vertical="center" wrapText="1"/>
      <protection locked="0"/>
    </xf>
    <xf numFmtId="0" fontId="8" fillId="35" borderId="3" xfId="13" applyFont="1" applyFill="1" applyBorder="1" applyAlignment="1" applyProtection="1">
      <alignment vertical="center" wrapText="1"/>
      <protection locked="0"/>
    </xf>
    <xf numFmtId="0" fontId="7" fillId="0" borderId="3" xfId="13" applyFont="1" applyBorder="1" applyAlignment="1" applyProtection="1">
      <alignment vertical="center" wrapText="1"/>
      <protection locked="0"/>
    </xf>
    <xf numFmtId="0" fontId="8" fillId="35" borderId="17" xfId="13" applyFont="1" applyFill="1" applyBorder="1" applyAlignment="1" applyProtection="1">
      <alignment vertical="center" wrapText="1"/>
      <protection locked="0"/>
    </xf>
    <xf numFmtId="0" fontId="14" fillId="0" borderId="0" xfId="21410" applyFont="1" applyAlignment="1" applyProtection="1">
      <alignment horizontal="left" vertical="center"/>
      <protection locked="0"/>
    </xf>
    <xf numFmtId="0" fontId="14" fillId="35" borderId="11" xfId="0" applyFont="1" applyFill="1" applyBorder="1" applyAlignment="1">
      <alignment horizontal="center" vertical="center" wrapText="1"/>
    </xf>
    <xf numFmtId="0" fontId="14" fillId="35" borderId="12" xfId="0" applyFont="1" applyFill="1" applyBorder="1" applyAlignment="1">
      <alignment horizontal="center" vertical="center" wrapText="1"/>
    </xf>
    <xf numFmtId="0" fontId="14" fillId="35" borderId="103" xfId="0" applyFont="1" applyFill="1" applyBorder="1" applyAlignment="1">
      <alignment horizontal="left" vertical="center" wrapText="1"/>
    </xf>
    <xf numFmtId="0" fontId="14" fillId="35" borderId="86" xfId="0" applyFont="1" applyFill="1" applyBorder="1" applyAlignment="1">
      <alignment horizontal="left" vertical="center" wrapText="1"/>
    </xf>
    <xf numFmtId="0" fontId="14" fillId="35" borderId="101" xfId="0" applyFont="1" applyFill="1" applyBorder="1" applyAlignment="1">
      <alignment horizontal="left" vertical="center" wrapText="1"/>
    </xf>
    <xf numFmtId="0" fontId="15" fillId="0" borderId="86" xfId="0" applyFont="1" applyBorder="1" applyAlignment="1">
      <alignment horizontal="left" vertical="center" wrapText="1"/>
    </xf>
    <xf numFmtId="1" fontId="15" fillId="0" borderId="101" xfId="0" applyNumberFormat="1" applyFont="1" applyBorder="1" applyAlignment="1">
      <alignment horizontal="right" vertical="center" wrapText="1"/>
    </xf>
    <xf numFmtId="10" fontId="15" fillId="0" borderId="86" xfId="20961" applyNumberFormat="1" applyFont="1" applyFill="1" applyBorder="1" applyAlignment="1">
      <alignment horizontal="left" vertical="center" wrapText="1"/>
    </xf>
    <xf numFmtId="10" fontId="14" fillId="35" borderId="86" xfId="0" applyNumberFormat="1" applyFont="1" applyFill="1" applyBorder="1" applyAlignment="1">
      <alignment horizontal="left" vertical="center" wrapText="1"/>
    </xf>
    <xf numFmtId="1" fontId="14" fillId="35" borderId="101" xfId="0" applyNumberFormat="1" applyFont="1" applyFill="1" applyBorder="1" applyAlignment="1">
      <alignment horizontal="right" vertical="center" wrapText="1"/>
    </xf>
    <xf numFmtId="10" fontId="14" fillId="35" borderId="86" xfId="20961" applyNumberFormat="1" applyFont="1" applyFill="1" applyBorder="1" applyAlignment="1">
      <alignment horizontal="left" vertical="center" wrapText="1"/>
    </xf>
    <xf numFmtId="10" fontId="14" fillId="35" borderId="86" xfId="0" applyNumberFormat="1" applyFont="1" applyFill="1" applyBorder="1" applyAlignment="1">
      <alignment horizontal="center" vertical="center" wrapText="1"/>
    </xf>
    <xf numFmtId="1" fontId="14" fillId="35" borderId="101" xfId="0" applyNumberFormat="1" applyFont="1" applyFill="1" applyBorder="1" applyAlignment="1">
      <alignment horizontal="center" vertical="center" wrapText="1"/>
    </xf>
    <xf numFmtId="0" fontId="14" fillId="0" borderId="103" xfId="0" applyFont="1" applyBorder="1" applyAlignment="1">
      <alignment horizontal="left" vertical="center" wrapText="1"/>
    </xf>
    <xf numFmtId="49" fontId="8" fillId="0" borderId="16" xfId="5" applyNumberFormat="1" applyFont="1" applyBorder="1" applyAlignment="1" applyProtection="1">
      <alignment horizontal="left" vertical="center"/>
      <protection locked="0"/>
    </xf>
    <xf numFmtId="0" fontId="7" fillId="0" borderId="17" xfId="9" applyFont="1" applyBorder="1" applyAlignment="1" applyProtection="1">
      <alignment horizontal="left" vertical="center" wrapText="1"/>
      <protection locked="0"/>
    </xf>
    <xf numFmtId="0" fontId="14" fillId="0" borderId="0" xfId="0" applyFont="1" applyAlignment="1">
      <alignment horizontal="center" wrapText="1"/>
    </xf>
    <xf numFmtId="0" fontId="15" fillId="0" borderId="47" xfId="0" applyFont="1" applyBorder="1"/>
    <xf numFmtId="0" fontId="15" fillId="0" borderId="48" xfId="0" applyFont="1" applyBorder="1"/>
    <xf numFmtId="0" fontId="15" fillId="0" borderId="11" xfId="0" applyFont="1" applyBorder="1" applyAlignment="1">
      <alignment horizontal="center"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50" xfId="0" applyFont="1" applyBorder="1"/>
    <xf numFmtId="9" fontId="101" fillId="0" borderId="3" xfId="0" applyNumberFormat="1" applyFont="1" applyBorder="1" applyAlignment="1">
      <alignment horizontal="center" vertical="center"/>
    </xf>
    <xf numFmtId="0" fontId="15" fillId="0" borderId="13" xfId="0" applyFont="1" applyBorder="1" applyAlignment="1">
      <alignment vertical="center"/>
    </xf>
    <xf numFmtId="0" fontId="7" fillId="3" borderId="3" xfId="13" applyFont="1" applyFill="1" applyBorder="1" applyAlignment="1" applyProtection="1">
      <alignment horizontal="left" vertical="center"/>
      <protection locked="0"/>
    </xf>
    <xf numFmtId="0" fontId="7" fillId="3" borderId="16" xfId="9" applyFont="1" applyFill="1" applyBorder="1" applyAlignment="1" applyProtection="1">
      <alignment horizontal="left" vertical="center"/>
      <protection locked="0"/>
    </xf>
    <xf numFmtId="0" fontId="8" fillId="3" borderId="17" xfId="16" applyFont="1" applyFill="1" applyBorder="1" applyProtection="1">
      <protection locked="0"/>
    </xf>
    <xf numFmtId="0" fontId="15" fillId="0" borderId="10" xfId="0" applyFont="1" applyBorder="1"/>
    <xf numFmtId="0" fontId="15" fillId="0" borderId="12" xfId="0" applyFont="1" applyBorder="1"/>
    <xf numFmtId="0" fontId="15" fillId="0" borderId="14" xfId="0" applyFont="1" applyBorder="1" applyAlignment="1">
      <alignment horizontal="center" vertical="center"/>
    </xf>
    <xf numFmtId="165" fontId="7" fillId="0" borderId="13" xfId="1" applyNumberFormat="1" applyFont="1" applyFill="1" applyBorder="1" applyAlignment="1" applyProtection="1">
      <alignment horizontal="center" vertical="center" wrapText="1"/>
      <protection locked="0"/>
    </xf>
    <xf numFmtId="165" fontId="7" fillId="3" borderId="3" xfId="1" applyNumberFormat="1" applyFont="1" applyFill="1" applyBorder="1" applyAlignment="1" applyProtection="1">
      <alignment horizontal="center" vertical="center" wrapText="1"/>
      <protection locked="0"/>
    </xf>
    <xf numFmtId="0" fontId="7" fillId="0" borderId="3" xfId="13" applyFont="1" applyBorder="1" applyAlignment="1" applyProtection="1">
      <alignment horizontal="center" vertical="center" wrapText="1"/>
      <protection locked="0"/>
    </xf>
    <xf numFmtId="165" fontId="7" fillId="0" borderId="3" xfId="1" applyNumberFormat="1" applyFont="1" applyFill="1" applyBorder="1" applyAlignment="1" applyProtection="1">
      <alignment horizontal="center" vertical="center" wrapText="1"/>
      <protection locked="0"/>
    </xf>
    <xf numFmtId="165" fontId="7" fillId="0" borderId="14" xfId="1" applyNumberFormat="1" applyFont="1" applyFill="1" applyBorder="1" applyAlignment="1" applyProtection="1">
      <alignment horizontal="center" vertical="center" wrapText="1"/>
      <protection locked="0"/>
    </xf>
    <xf numFmtId="165" fontId="7" fillId="3" borderId="13" xfId="1" applyNumberFormat="1" applyFont="1" applyFill="1" applyBorder="1" applyAlignment="1" applyProtection="1">
      <alignment horizontal="center" vertical="center" wrapText="1"/>
      <protection locked="0"/>
    </xf>
    <xf numFmtId="165" fontId="7" fillId="3" borderId="14" xfId="1" applyNumberFormat="1" applyFont="1" applyFill="1" applyBorder="1" applyAlignment="1" applyProtection="1">
      <alignment horizontal="center" vertical="center" wrapText="1"/>
      <protection locked="0"/>
    </xf>
    <xf numFmtId="0" fontId="7" fillId="3" borderId="13" xfId="5" applyFont="1" applyFill="1" applyBorder="1" applyAlignment="1" applyProtection="1">
      <alignment horizontal="right" vertical="center"/>
      <protection locked="0"/>
    </xf>
    <xf numFmtId="0" fontId="8" fillId="3" borderId="18" xfId="16" applyFont="1" applyFill="1" applyBorder="1" applyProtection="1">
      <protection locked="0"/>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11" xfId="0" applyFont="1" applyBorder="1"/>
    <xf numFmtId="0" fontId="15" fillId="0" borderId="11" xfId="0" applyFont="1" applyBorder="1" applyAlignment="1">
      <alignment wrapText="1"/>
    </xf>
    <xf numFmtId="0" fontId="15" fillId="0" borderId="20" xfId="0" applyFont="1" applyBorder="1" applyAlignment="1">
      <alignment wrapText="1"/>
    </xf>
    <xf numFmtId="0" fontId="15" fillId="0" borderId="12" xfId="0" applyFont="1" applyBorder="1" applyAlignment="1">
      <alignment wrapText="1"/>
    </xf>
    <xf numFmtId="0" fontId="15" fillId="0" borderId="5" xfId="0" applyFont="1" applyBorder="1"/>
    <xf numFmtId="0" fontId="15" fillId="0" borderId="3" xfId="0" applyFont="1" applyBorder="1" applyAlignment="1">
      <alignment horizontal="center" vertical="center" wrapText="1"/>
    </xf>
    <xf numFmtId="0" fontId="15" fillId="0" borderId="13" xfId="0" applyFont="1" applyBorder="1"/>
    <xf numFmtId="9" fontId="15" fillId="0" borderId="14" xfId="20961" applyFont="1" applyBorder="1"/>
    <xf numFmtId="0" fontId="15" fillId="0" borderId="16" xfId="0" applyFont="1" applyBorder="1"/>
    <xf numFmtId="0" fontId="14" fillId="0" borderId="17" xfId="0" applyFont="1" applyBorder="1"/>
    <xf numFmtId="0" fontId="13" fillId="3" borderId="99" xfId="0" applyFont="1" applyFill="1" applyBorder="1" applyAlignment="1">
      <alignment horizontal="left"/>
    </xf>
    <xf numFmtId="0" fontId="13" fillId="3" borderId="100" xfId="0" applyFont="1" applyFill="1" applyBorder="1" applyAlignment="1">
      <alignment horizontal="left"/>
    </xf>
    <xf numFmtId="0" fontId="15" fillId="0" borderId="86" xfId="0" applyFont="1" applyBorder="1" applyAlignment="1">
      <alignment horizontal="center" vertical="center" wrapText="1"/>
    </xf>
    <xf numFmtId="0" fontId="15" fillId="0" borderId="101" xfId="0" applyFont="1" applyBorder="1" applyAlignment="1">
      <alignment horizontal="center" vertical="center" wrapText="1"/>
    </xf>
    <xf numFmtId="0" fontId="14" fillId="3" borderId="102" xfId="0" applyFont="1" applyFill="1" applyBorder="1" applyAlignment="1">
      <alignment vertical="center"/>
    </xf>
    <xf numFmtId="0" fontId="15" fillId="3" borderId="84" xfId="0" applyFont="1" applyFill="1" applyBorder="1" applyAlignment="1">
      <alignment vertical="center"/>
    </xf>
    <xf numFmtId="0" fontId="15" fillId="3" borderId="15" xfId="0" applyFont="1" applyFill="1" applyBorder="1" applyAlignment="1">
      <alignment vertical="center"/>
    </xf>
    <xf numFmtId="0" fontId="15" fillId="0" borderId="56" xfId="0" applyFont="1" applyBorder="1" applyAlignment="1">
      <alignment horizontal="center" vertical="center"/>
    </xf>
    <xf numFmtId="0" fontId="15" fillId="0" borderId="5" xfId="0" applyFont="1" applyBorder="1" applyAlignment="1">
      <alignment vertical="center"/>
    </xf>
    <xf numFmtId="0" fontId="15" fillId="0" borderId="103" xfId="0" applyFont="1" applyBorder="1" applyAlignment="1">
      <alignment horizontal="center" vertical="center"/>
    </xf>
    <xf numFmtId="0" fontId="15" fillId="0" borderId="86" xfId="0" applyFont="1" applyBorder="1" applyAlignment="1">
      <alignment vertical="center"/>
    </xf>
    <xf numFmtId="0" fontId="14" fillId="0" borderId="86" xfId="0" applyFont="1" applyBorder="1" applyAlignment="1">
      <alignment vertical="center"/>
    </xf>
    <xf numFmtId="0" fontId="15" fillId="0" borderId="16" xfId="0" applyFont="1" applyBorder="1" applyAlignment="1">
      <alignment horizontal="center" vertical="center"/>
    </xf>
    <xf numFmtId="0" fontId="14" fillId="0" borderId="17" xfId="0" applyFont="1" applyBorder="1" applyAlignment="1">
      <alignment vertical="center"/>
    </xf>
    <xf numFmtId="0" fontId="15" fillId="3" borderId="50" xfId="0" applyFont="1" applyFill="1" applyBorder="1" applyAlignment="1">
      <alignment horizontal="center" vertical="center"/>
    </xf>
    <xf numFmtId="0" fontId="15" fillId="3" borderId="0" xfId="0" applyFont="1" applyFill="1" applyAlignment="1">
      <alignment vertical="center"/>
    </xf>
    <xf numFmtId="0" fontId="15" fillId="0" borderId="10" xfId="0" applyFont="1" applyBorder="1" applyAlignment="1">
      <alignment horizontal="center" vertical="center"/>
    </xf>
    <xf numFmtId="0" fontId="15" fillId="0" borderId="11" xfId="0" applyFont="1" applyBorder="1" applyAlignment="1">
      <alignment vertical="center"/>
    </xf>
    <xf numFmtId="169" fontId="7" fillId="36" borderId="48" xfId="20" applyFont="1" applyBorder="1"/>
    <xf numFmtId="0" fontId="15" fillId="0" borderId="94" xfId="0" applyFont="1" applyBorder="1" applyAlignment="1">
      <alignment horizontal="center" vertical="center"/>
    </xf>
    <xf numFmtId="0" fontId="15" fillId="0" borderId="81" xfId="0" applyFont="1" applyBorder="1" applyAlignment="1">
      <alignment vertical="center"/>
    </xf>
    <xf numFmtId="169" fontId="7" fillId="36" borderId="19" xfId="20" applyFont="1" applyBorder="1"/>
    <xf numFmtId="169" fontId="7" fillId="36" borderId="98" xfId="20" applyFont="1" applyBorder="1"/>
    <xf numFmtId="169" fontId="7" fillId="36" borderId="88" xfId="20" applyFont="1" applyBorder="1"/>
    <xf numFmtId="0" fontId="15" fillId="0" borderId="96" xfId="0" applyFont="1" applyBorder="1" applyAlignment="1">
      <alignment horizontal="center" vertical="center"/>
    </xf>
    <xf numFmtId="0" fontId="15" fillId="0" borderId="83" xfId="0" applyFont="1" applyBorder="1" applyAlignment="1">
      <alignment vertical="center"/>
    </xf>
    <xf numFmtId="169" fontId="7" fillId="36" borderId="23" xfId="20" applyFont="1" applyBorder="1"/>
    <xf numFmtId="0" fontId="15" fillId="0" borderId="0" xfId="0" applyFont="1" applyAlignment="1">
      <alignment vertical="top"/>
    </xf>
    <xf numFmtId="0" fontId="15" fillId="0" borderId="0" xfId="0" applyFont="1" applyAlignment="1">
      <alignment vertical="top" wrapText="1"/>
    </xf>
    <xf numFmtId="0" fontId="120" fillId="0" borderId="130" xfId="21416" applyFont="1" applyBorder="1" applyAlignment="1" applyProtection="1">
      <alignment horizontal="center" vertical="center" wrapText="1"/>
      <protection locked="0"/>
    </xf>
    <xf numFmtId="3" fontId="120" fillId="3" borderId="130" xfId="1" applyNumberFormat="1" applyFont="1" applyFill="1" applyBorder="1" applyAlignment="1" applyProtection="1">
      <alignment horizontal="center" vertical="center" wrapText="1"/>
      <protection locked="0"/>
    </xf>
    <xf numFmtId="9" fontId="120" fillId="3" borderId="130" xfId="15" applyNumberFormat="1" applyFont="1" applyFill="1" applyBorder="1" applyAlignment="1" applyProtection="1">
      <alignment horizontal="center" vertical="center" wrapText="1"/>
      <protection locked="0"/>
    </xf>
    <xf numFmtId="0" fontId="120" fillId="3" borderId="130" xfId="21416" applyFont="1" applyFill="1" applyBorder="1" applyAlignment="1" applyProtection="1">
      <alignment horizontal="center" vertical="center" wrapText="1"/>
      <protection locked="0"/>
    </xf>
    <xf numFmtId="0" fontId="120" fillId="3" borderId="130" xfId="21416" applyFont="1" applyFill="1" applyBorder="1" applyAlignment="1" applyProtection="1">
      <alignment horizontal="left" vertical="center"/>
      <protection locked="0"/>
    </xf>
    <xf numFmtId="0" fontId="120" fillId="3" borderId="130" xfId="5" applyFont="1" applyFill="1" applyBorder="1" applyProtection="1">
      <protection locked="0"/>
    </xf>
    <xf numFmtId="0" fontId="120" fillId="0" borderId="130" xfId="21416" applyFont="1" applyBorder="1" applyAlignment="1" applyProtection="1">
      <alignment horizontal="left" vertical="center"/>
      <protection locked="0"/>
    </xf>
    <xf numFmtId="0" fontId="120" fillId="0" borderId="0" xfId="21415" applyFont="1" applyAlignment="1" applyProtection="1">
      <alignment vertical="center"/>
      <protection locked="0"/>
    </xf>
    <xf numFmtId="0" fontId="123" fillId="0" borderId="0" xfId="0" applyFont="1" applyAlignment="1">
      <alignment wrapText="1"/>
    </xf>
    <xf numFmtId="0" fontId="120" fillId="0" borderId="130" xfId="21416" applyFont="1" applyBorder="1" applyAlignment="1" applyProtection="1">
      <alignment horizontal="center" vertical="top" wrapText="1"/>
      <protection locked="0"/>
    </xf>
    <xf numFmtId="0" fontId="93" fillId="3" borderId="130" xfId="21416" applyFont="1" applyFill="1" applyBorder="1" applyAlignment="1" applyProtection="1">
      <alignment wrapText="1"/>
      <protection locked="0"/>
    </xf>
    <xf numFmtId="0" fontId="128" fillId="3" borderId="130" xfId="21416" applyFont="1" applyFill="1" applyBorder="1" applyAlignment="1" applyProtection="1">
      <alignment horizontal="right" wrapText="1"/>
      <protection locked="0"/>
    </xf>
    <xf numFmtId="165" fontId="8" fillId="76" borderId="85" xfId="948" applyNumberFormat="1" applyFont="1" applyFill="1" applyBorder="1" applyAlignment="1" applyProtection="1">
      <alignment horizontal="right" vertical="center"/>
      <protection locked="0"/>
    </xf>
    <xf numFmtId="0" fontId="15" fillId="3" borderId="79" xfId="0" applyFont="1" applyFill="1" applyBorder="1" applyAlignment="1">
      <alignment horizontal="center" vertical="center" wrapText="1"/>
    </xf>
    <xf numFmtId="165" fontId="15" fillId="0" borderId="86" xfId="7" applyNumberFormat="1" applyFont="1" applyBorder="1" applyAlignment="1">
      <alignment vertical="center"/>
    </xf>
    <xf numFmtId="165" fontId="15" fillId="3" borderId="0" xfId="7" applyNumberFormat="1" applyFont="1" applyFill="1" applyBorder="1" applyAlignment="1">
      <alignment vertical="center"/>
    </xf>
    <xf numFmtId="165" fontId="15" fillId="0" borderId="86" xfId="7" applyNumberFormat="1" applyFont="1" applyFill="1" applyBorder="1" applyAlignment="1">
      <alignment vertical="center"/>
    </xf>
    <xf numFmtId="0" fontId="100" fillId="3" borderId="124" xfId="13" applyFont="1" applyFill="1" applyBorder="1" applyAlignment="1" applyProtection="1">
      <alignment horizontal="left" vertical="center" wrapText="1"/>
      <protection locked="0"/>
    </xf>
    <xf numFmtId="0" fontId="100" fillId="0" borderId="124" xfId="13" applyFont="1" applyBorder="1" applyAlignment="1" applyProtection="1">
      <alignment horizontal="left" vertical="center" wrapText="1"/>
      <protection locked="0"/>
    </xf>
    <xf numFmtId="0" fontId="131" fillId="0" borderId="124" xfId="13" applyFont="1" applyBorder="1" applyAlignment="1" applyProtection="1">
      <alignment horizontal="left" vertical="center" wrapText="1"/>
      <protection locked="0"/>
    </xf>
    <xf numFmtId="49" fontId="100" fillId="3" borderId="130" xfId="5" applyNumberFormat="1" applyFont="1" applyFill="1" applyBorder="1" applyAlignment="1" applyProtection="1">
      <alignment horizontal="right" vertical="center" wrapText="1"/>
      <protection locked="0"/>
    </xf>
    <xf numFmtId="49" fontId="100" fillId="0" borderId="130" xfId="5" applyNumberFormat="1" applyFont="1" applyBorder="1" applyAlignment="1" applyProtection="1">
      <alignment horizontal="right" vertical="center" wrapText="1"/>
      <protection locked="0"/>
    </xf>
    <xf numFmtId="49" fontId="103" fillId="0" borderId="130" xfId="5" applyNumberFormat="1" applyFont="1" applyBorder="1" applyAlignment="1" applyProtection="1">
      <alignment horizontal="right" vertical="center" wrapText="1"/>
      <protection locked="0"/>
    </xf>
    <xf numFmtId="0" fontId="15" fillId="0" borderId="3" xfId="0" applyFont="1" applyBorder="1" applyAlignment="1">
      <alignment vertical="center"/>
    </xf>
    <xf numFmtId="0" fontId="0" fillId="0" borderId="0" xfId="0" applyAlignment="1">
      <alignment vertical="center"/>
    </xf>
    <xf numFmtId="0" fontId="7" fillId="3" borderId="3" xfId="20960" applyFont="1" applyFill="1" applyBorder="1" applyAlignment="1">
      <alignment horizontal="right" vertical="center"/>
    </xf>
    <xf numFmtId="0" fontId="7" fillId="3" borderId="3" xfId="20960" applyFont="1" applyFill="1" applyBorder="1" applyAlignment="1">
      <alignment horizontal="left" vertical="center" wrapText="1"/>
    </xf>
    <xf numFmtId="0" fontId="120" fillId="0" borderId="3" xfId="0" applyFont="1" applyBorder="1" applyAlignment="1">
      <alignment vertical="center"/>
    </xf>
    <xf numFmtId="0" fontId="1" fillId="0" borderId="0" xfId="0" applyFont="1" applyAlignment="1">
      <alignment vertical="center"/>
    </xf>
    <xf numFmtId="0" fontId="7" fillId="0" borderId="3" xfId="20960" applyFont="1" applyBorder="1" applyAlignment="1">
      <alignment horizontal="left" vertical="center" wrapText="1"/>
    </xf>
    <xf numFmtId="0" fontId="7" fillId="3" borderId="2" xfId="20960" applyFont="1" applyFill="1" applyBorder="1" applyAlignment="1">
      <alignment horizontal="right" vertical="center"/>
    </xf>
    <xf numFmtId="0" fontId="7" fillId="0" borderId="2" xfId="20960" applyFont="1" applyBorder="1" applyAlignment="1">
      <alignment horizontal="left" vertical="center" wrapText="1"/>
    </xf>
    <xf numFmtId="0" fontId="94" fillId="0" borderId="0" xfId="0" applyFont="1" applyAlignment="1">
      <alignment vertical="center" wrapText="1"/>
    </xf>
    <xf numFmtId="0" fontId="7" fillId="3" borderId="86" xfId="20960" applyFont="1" applyFill="1" applyBorder="1" applyAlignment="1">
      <alignment vertical="center"/>
    </xf>
    <xf numFmtId="0" fontId="122" fillId="0" borderId="86" xfId="17" applyFont="1" applyFill="1" applyBorder="1" applyAlignment="1" applyProtection="1">
      <alignment vertical="center"/>
    </xf>
    <xf numFmtId="0" fontId="117" fillId="0" borderId="0" xfId="0" applyFont="1" applyAlignment="1">
      <alignment vertical="center"/>
    </xf>
    <xf numFmtId="0" fontId="15" fillId="0" borderId="130" xfId="0" applyFont="1" applyBorder="1" applyAlignment="1">
      <alignment vertical="center"/>
    </xf>
    <xf numFmtId="0" fontId="9" fillId="0" borderId="0" xfId="17" applyAlignment="1" applyProtection="1">
      <alignment vertical="center"/>
    </xf>
    <xf numFmtId="0" fontId="123" fillId="0" borderId="0" xfId="0" applyFont="1" applyAlignment="1">
      <alignment vertical="center"/>
    </xf>
    <xf numFmtId="0" fontId="9" fillId="0" borderId="3" xfId="17" applyBorder="1" applyAlignment="1" applyProtection="1">
      <alignment vertical="center"/>
    </xf>
    <xf numFmtId="0" fontId="7" fillId="0" borderId="0" xfId="11" applyFont="1" applyAlignment="1">
      <alignment vertical="center"/>
    </xf>
    <xf numFmtId="0" fontId="7" fillId="0" borderId="0" xfId="0" applyFont="1" applyAlignment="1">
      <alignment vertical="center"/>
    </xf>
    <xf numFmtId="0" fontId="8" fillId="0" borderId="0" xfId="11" applyFont="1" applyAlignment="1">
      <alignment vertical="center"/>
    </xf>
    <xf numFmtId="14" fontId="8" fillId="0" borderId="0" xfId="0" applyNumberFormat="1" applyFont="1" applyAlignment="1">
      <alignment horizontal="left" vertical="center"/>
    </xf>
    <xf numFmtId="0" fontId="8" fillId="0" borderId="0" xfId="7" applyNumberFormat="1" applyFont="1" applyAlignment="1">
      <alignment horizontal="left" vertical="center"/>
    </xf>
    <xf numFmtId="0" fontId="3" fillId="0" borderId="0" xfId="0" applyFont="1" applyAlignment="1">
      <alignment vertical="center"/>
    </xf>
    <xf numFmtId="0" fontId="132" fillId="0" borderId="130" xfId="0" applyFont="1" applyBorder="1" applyAlignment="1">
      <alignment horizontal="justify" vertical="center" wrapText="1"/>
    </xf>
    <xf numFmtId="165" fontId="15" fillId="0" borderId="124" xfId="7" applyNumberFormat="1" applyFont="1" applyBorder="1" applyAlignment="1">
      <alignment vertical="center"/>
    </xf>
    <xf numFmtId="165" fontId="15" fillId="35" borderId="124" xfId="7" applyNumberFormat="1" applyFont="1" applyFill="1" applyBorder="1" applyAlignment="1">
      <alignment vertical="center"/>
    </xf>
    <xf numFmtId="0" fontId="7" fillId="0" borderId="130" xfId="0" applyFont="1" applyBorder="1" applyAlignment="1">
      <alignment horizontal="left" vertical="center" wrapText="1"/>
    </xf>
    <xf numFmtId="0" fontId="8" fillId="0" borderId="130" xfId="0" applyFont="1" applyBorder="1" applyAlignment="1">
      <alignment horizontal="justify" vertical="center" wrapText="1"/>
    </xf>
    <xf numFmtId="0" fontId="132" fillId="3" borderId="130" xfId="0" applyFont="1" applyFill="1" applyBorder="1" applyAlignment="1">
      <alignment horizontal="justify" vertical="center" wrapText="1"/>
    </xf>
    <xf numFmtId="0" fontId="133" fillId="0" borderId="130" xfId="0" applyFont="1" applyBorder="1" applyAlignment="1">
      <alignment horizontal="left" vertical="center" wrapText="1"/>
    </xf>
    <xf numFmtId="0" fontId="132" fillId="0" borderId="130" xfId="21414" applyFont="1" applyBorder="1" applyAlignment="1">
      <alignment horizontal="justify" vertical="center" wrapText="1"/>
    </xf>
    <xf numFmtId="0" fontId="132" fillId="0" borderId="130" xfId="0" applyFont="1" applyBorder="1" applyAlignment="1">
      <alignment horizontal="left" vertical="center" wrapText="1"/>
    </xf>
    <xf numFmtId="0" fontId="8" fillId="0" borderId="130" xfId="0" applyFont="1" applyBorder="1" applyAlignment="1">
      <alignment vertical="center" wrapText="1"/>
    </xf>
    <xf numFmtId="0" fontId="132" fillId="0" borderId="130" xfId="0" applyFont="1" applyBorder="1" applyAlignment="1">
      <alignment vertical="center" wrapText="1"/>
    </xf>
    <xf numFmtId="0" fontId="132" fillId="0" borderId="130" xfId="21414" applyFont="1" applyBorder="1" applyAlignment="1">
      <alignment vertical="center" wrapText="1"/>
    </xf>
    <xf numFmtId="165" fontId="15" fillId="0" borderId="130" xfId="7" applyNumberFormat="1" applyFont="1" applyBorder="1" applyAlignment="1">
      <alignment vertical="center"/>
    </xf>
    <xf numFmtId="0" fontId="15" fillId="0" borderId="130" xfId="0" applyFont="1" applyBorder="1" applyAlignment="1">
      <alignment horizontal="center" vertical="center"/>
    </xf>
    <xf numFmtId="0" fontId="8" fillId="0" borderId="130" xfId="0" applyFont="1" applyBorder="1" applyAlignment="1">
      <alignment horizontal="center" vertical="center"/>
    </xf>
    <xf numFmtId="0" fontId="7" fillId="0" borderId="130" xfId="0" applyFont="1" applyBorder="1" applyAlignment="1">
      <alignment horizontal="center" vertical="center" wrapText="1"/>
    </xf>
    <xf numFmtId="165" fontId="15" fillId="35" borderId="130" xfId="7" applyNumberFormat="1" applyFont="1" applyFill="1" applyBorder="1" applyAlignment="1">
      <alignment vertical="center"/>
    </xf>
    <xf numFmtId="0" fontId="7" fillId="0" borderId="124" xfId="0" applyFont="1" applyBorder="1" applyAlignment="1">
      <alignment horizontal="center" vertical="center"/>
    </xf>
    <xf numFmtId="0" fontId="7" fillId="0" borderId="130" xfId="21414" applyFont="1" applyBorder="1" applyAlignment="1">
      <alignment horizontal="left" vertical="center" wrapText="1"/>
    </xf>
    <xf numFmtId="0" fontId="132" fillId="3" borderId="130" xfId="21414" applyFont="1" applyFill="1" applyBorder="1" applyAlignment="1">
      <alignment horizontal="left" vertical="center" wrapText="1"/>
    </xf>
    <xf numFmtId="0" fontId="7" fillId="3" borderId="130" xfId="21414" applyFont="1" applyFill="1" applyBorder="1" applyAlignment="1">
      <alignment horizontal="left" vertical="center" wrapText="1"/>
    </xf>
    <xf numFmtId="0" fontId="8" fillId="0" borderId="130" xfId="0" applyFont="1" applyBorder="1" applyAlignment="1">
      <alignment horizontal="left" vertical="center" wrapText="1"/>
    </xf>
    <xf numFmtId="0" fontId="133" fillId="3" borderId="130" xfId="0" applyFont="1" applyFill="1" applyBorder="1" applyAlignment="1">
      <alignment horizontal="left" vertical="center" wrapText="1"/>
    </xf>
    <xf numFmtId="0" fontId="132" fillId="3" borderId="130" xfId="0" applyFont="1" applyFill="1" applyBorder="1" applyAlignment="1">
      <alignment horizontal="left" vertical="center" wrapText="1"/>
    </xf>
    <xf numFmtId="0" fontId="133" fillId="0" borderId="130" xfId="21414" applyFont="1" applyBorder="1" applyAlignment="1">
      <alignment horizontal="left" vertical="center" wrapText="1"/>
    </xf>
    <xf numFmtId="0" fontId="132" fillId="0" borderId="130" xfId="21414" applyFont="1" applyBorder="1" applyAlignment="1">
      <alignment horizontal="left" vertical="center" wrapText="1"/>
    </xf>
    <xf numFmtId="0" fontId="132" fillId="0" borderId="86" xfId="21414" applyFont="1" applyBorder="1" applyAlignment="1">
      <alignment horizontal="center" vertical="center" wrapText="1"/>
    </xf>
    <xf numFmtId="0" fontId="7" fillId="3" borderId="130" xfId="0" applyFont="1" applyFill="1" applyBorder="1" applyAlignment="1">
      <alignment horizontal="left" vertical="center" wrapText="1"/>
    </xf>
    <xf numFmtId="0" fontId="132" fillId="0" borderId="130" xfId="21414" applyFont="1" applyBorder="1" applyAlignment="1">
      <alignment horizontal="center" vertical="center" wrapText="1"/>
    </xf>
    <xf numFmtId="0" fontId="134" fillId="0" borderId="130" xfId="0" applyFont="1" applyBorder="1" applyAlignment="1">
      <alignment horizontal="left" vertical="center"/>
    </xf>
    <xf numFmtId="0" fontId="15" fillId="0" borderId="0" xfId="0" applyFont="1" applyAlignment="1">
      <alignment horizontal="left" vertical="center"/>
    </xf>
    <xf numFmtId="165" fontId="135" fillId="0" borderId="0" xfId="0" applyNumberFormat="1" applyFont="1" applyAlignment="1">
      <alignment vertical="center"/>
    </xf>
    <xf numFmtId="0" fontId="7" fillId="0" borderId="130" xfId="0" applyFont="1" applyBorder="1" applyAlignment="1">
      <alignment horizontal="center" vertical="center"/>
    </xf>
    <xf numFmtId="0" fontId="8" fillId="3" borderId="130" xfId="21414" applyFont="1" applyFill="1" applyBorder="1" applyAlignment="1">
      <alignment horizontal="left" vertical="center" wrapText="1"/>
    </xf>
    <xf numFmtId="0" fontId="8" fillId="0" borderId="124" xfId="0" applyFont="1" applyBorder="1" applyAlignment="1">
      <alignment vertical="center" wrapText="1"/>
    </xf>
    <xf numFmtId="165" fontId="7" fillId="0" borderId="124" xfId="7" applyNumberFormat="1" applyFont="1" applyBorder="1" applyAlignment="1">
      <alignment horizontal="right" vertical="center"/>
    </xf>
    <xf numFmtId="165" fontId="7" fillId="35" borderId="124" xfId="7" applyNumberFormat="1" applyFont="1" applyFill="1" applyBorder="1" applyAlignment="1">
      <alignment horizontal="right" vertical="center"/>
    </xf>
    <xf numFmtId="165" fontId="7" fillId="35" borderId="101" xfId="7" applyNumberFormat="1" applyFont="1" applyFill="1" applyBorder="1" applyAlignment="1">
      <alignment horizontal="right" vertical="center"/>
    </xf>
    <xf numFmtId="0" fontId="7" fillId="0" borderId="124" xfId="0" applyFont="1" applyBorder="1" applyAlignment="1">
      <alignment horizontal="left" vertical="center" wrapText="1"/>
    </xf>
    <xf numFmtId="0" fontId="8" fillId="0" borderId="124" xfId="0" applyFont="1" applyBorder="1" applyAlignment="1">
      <alignment vertical="center"/>
    </xf>
    <xf numFmtId="0" fontId="7" fillId="0" borderId="124" xfId="0" applyFont="1" applyBorder="1" applyAlignment="1" applyProtection="1">
      <alignment horizontal="left" vertical="center"/>
      <protection locked="0"/>
    </xf>
    <xf numFmtId="0" fontId="12" fillId="0" borderId="124" xfId="0" applyFont="1" applyBorder="1" applyAlignment="1" applyProtection="1">
      <alignment horizontal="left" vertical="center"/>
      <protection locked="0"/>
    </xf>
    <xf numFmtId="165" fontId="7" fillId="0" borderId="130" xfId="7" applyNumberFormat="1" applyFont="1" applyBorder="1" applyAlignment="1">
      <alignment horizontal="right" vertical="center"/>
    </xf>
    <xf numFmtId="0" fontId="120" fillId="0" borderId="0" xfId="0" applyFont="1" applyAlignment="1">
      <alignment horizontal="center" vertical="center"/>
    </xf>
    <xf numFmtId="0" fontId="120" fillId="0" borderId="0" xfId="0" applyFont="1" applyAlignment="1">
      <alignment vertical="center"/>
    </xf>
    <xf numFmtId="193" fontId="7" fillId="0" borderId="0" xfId="0" applyNumberFormat="1" applyFont="1" applyAlignment="1">
      <alignment horizontal="right" vertical="center"/>
    </xf>
    <xf numFmtId="165" fontId="15" fillId="35" borderId="130" xfId="7" applyNumberFormat="1" applyFont="1" applyFill="1" applyBorder="1" applyAlignment="1">
      <alignment vertical="center" wrapText="1"/>
    </xf>
    <xf numFmtId="165" fontId="15" fillId="35" borderId="15" xfId="7" applyNumberFormat="1" applyFont="1" applyFill="1" applyBorder="1" applyAlignment="1">
      <alignment vertical="center" wrapText="1"/>
    </xf>
    <xf numFmtId="165" fontId="15" fillId="0" borderId="130" xfId="7" applyNumberFormat="1" applyFont="1" applyBorder="1" applyAlignment="1">
      <alignment vertical="center" wrapText="1"/>
    </xf>
    <xf numFmtId="165" fontId="15" fillId="0" borderId="15" xfId="7" applyNumberFormat="1" applyFont="1" applyBorder="1" applyAlignment="1">
      <alignment vertical="center" wrapText="1"/>
    </xf>
    <xf numFmtId="165" fontId="15" fillId="35" borderId="137" xfId="7" applyNumberFormat="1" applyFont="1" applyFill="1" applyBorder="1" applyAlignment="1">
      <alignment vertical="center" wrapText="1"/>
    </xf>
    <xf numFmtId="165" fontId="15" fillId="35" borderId="30" xfId="7" applyNumberFormat="1" applyFont="1" applyFill="1" applyBorder="1" applyAlignment="1">
      <alignment vertical="center" wrapText="1"/>
    </xf>
    <xf numFmtId="165" fontId="120" fillId="80" borderId="130" xfId="7" applyNumberFormat="1" applyFont="1" applyFill="1" applyBorder="1"/>
    <xf numFmtId="165" fontId="15" fillId="35" borderId="132" xfId="7" applyNumberFormat="1" applyFont="1" applyFill="1" applyBorder="1" applyAlignment="1">
      <alignment vertical="center" wrapText="1"/>
    </xf>
    <xf numFmtId="165" fontId="15" fillId="35" borderId="104" xfId="7" applyNumberFormat="1" applyFont="1" applyFill="1" applyBorder="1" applyAlignment="1">
      <alignment vertical="center" wrapText="1"/>
    </xf>
    <xf numFmtId="0" fontId="93" fillId="0" borderId="0" xfId="21415" applyFont="1" applyAlignment="1" applyProtection="1">
      <alignment vertical="center"/>
      <protection locked="0"/>
    </xf>
    <xf numFmtId="0" fontId="120" fillId="0" borderId="130" xfId="5" applyFont="1" applyBorder="1" applyAlignment="1" applyProtection="1">
      <alignment vertical="center" wrapText="1"/>
      <protection locked="0"/>
    </xf>
    <xf numFmtId="0" fontId="114" fillId="0" borderId="0" xfId="0" applyFont="1" applyAlignment="1">
      <alignment vertical="center"/>
    </xf>
    <xf numFmtId="0" fontId="10" fillId="0" borderId="0" xfId="0" applyFont="1" applyAlignment="1">
      <alignment vertical="center"/>
    </xf>
    <xf numFmtId="0" fontId="93" fillId="3" borderId="130" xfId="21416" applyFont="1" applyFill="1" applyBorder="1" applyAlignment="1" applyProtection="1">
      <alignment vertical="center"/>
      <protection locked="0"/>
    </xf>
    <xf numFmtId="3" fontId="120" fillId="80" borderId="130" xfId="5" applyNumberFormat="1" applyFont="1" applyFill="1" applyBorder="1" applyAlignment="1">
      <alignment vertical="center"/>
    </xf>
    <xf numFmtId="0" fontId="129" fillId="3" borderId="130" xfId="21416" applyFont="1" applyFill="1" applyBorder="1" applyAlignment="1" applyProtection="1">
      <alignment horizontal="right" vertical="center"/>
      <protection locked="0"/>
    </xf>
    <xf numFmtId="165" fontId="120" fillId="80" borderId="130" xfId="7" applyNumberFormat="1" applyFont="1" applyFill="1" applyBorder="1" applyAlignment="1">
      <alignment vertical="center"/>
    </xf>
    <xf numFmtId="194" fontId="120" fillId="80" borderId="130" xfId="5" applyNumberFormat="1" applyFont="1" applyFill="1" applyBorder="1" applyAlignment="1" applyProtection="1">
      <alignment vertical="center"/>
      <protection locked="0"/>
    </xf>
    <xf numFmtId="165" fontId="120" fillId="80" borderId="130" xfId="7" applyNumberFormat="1" applyFont="1" applyFill="1" applyBorder="1" applyAlignment="1" applyProtection="1">
      <alignment vertical="center"/>
    </xf>
    <xf numFmtId="0" fontId="128" fillId="3" borderId="130" xfId="21416" applyFont="1" applyFill="1" applyBorder="1" applyAlignment="1" applyProtection="1">
      <alignment horizontal="right" vertical="center"/>
      <protection locked="0"/>
    </xf>
    <xf numFmtId="0" fontId="93" fillId="3" borderId="130" xfId="16" applyFont="1" applyFill="1" applyBorder="1" applyAlignment="1" applyProtection="1">
      <alignment vertical="center"/>
      <protection locked="0"/>
    </xf>
    <xf numFmtId="165" fontId="120" fillId="0" borderId="130" xfId="7" applyNumberFormat="1" applyFont="1" applyBorder="1"/>
    <xf numFmtId="165" fontId="15" fillId="0" borderId="87" xfId="7" applyNumberFormat="1" applyFont="1" applyBorder="1" applyAlignment="1">
      <alignment vertical="center"/>
    </xf>
    <xf numFmtId="165" fontId="15" fillId="0" borderId="101" xfId="7" applyNumberFormat="1" applyFont="1" applyBorder="1" applyAlignment="1">
      <alignment vertical="center"/>
    </xf>
    <xf numFmtId="165" fontId="15" fillId="3" borderId="84" xfId="7" applyNumberFormat="1" applyFont="1" applyFill="1" applyBorder="1" applyAlignment="1">
      <alignment vertical="center"/>
    </xf>
    <xf numFmtId="165" fontId="15" fillId="3" borderId="15" xfId="7" applyNumberFormat="1" applyFont="1" applyFill="1" applyBorder="1" applyAlignment="1">
      <alignment vertical="center"/>
    </xf>
    <xf numFmtId="165" fontId="14" fillId="0" borderId="86" xfId="7" applyNumberFormat="1" applyFont="1" applyBorder="1" applyAlignment="1">
      <alignment vertical="center"/>
    </xf>
    <xf numFmtId="165" fontId="14" fillId="0" borderId="87" xfId="7" applyNumberFormat="1" applyFont="1" applyBorder="1" applyAlignment="1">
      <alignment vertical="center"/>
    </xf>
    <xf numFmtId="165" fontId="14" fillId="0" borderId="101" xfId="7" applyNumberFormat="1" applyFont="1" applyBorder="1" applyAlignment="1">
      <alignment vertical="center"/>
    </xf>
    <xf numFmtId="165" fontId="14" fillId="0" borderId="139" xfId="7" applyNumberFormat="1" applyFont="1" applyBorder="1" applyAlignment="1">
      <alignment vertical="center"/>
    </xf>
    <xf numFmtId="165" fontId="14" fillId="0" borderId="17" xfId="7" applyNumberFormat="1" applyFont="1" applyBorder="1" applyAlignment="1">
      <alignment vertical="center"/>
    </xf>
    <xf numFmtId="165" fontId="14" fillId="0" borderId="19" xfId="7" applyNumberFormat="1" applyFont="1" applyBorder="1" applyAlignment="1">
      <alignment vertical="center"/>
    </xf>
    <xf numFmtId="165" fontId="14" fillId="0" borderId="18" xfId="7" applyNumberFormat="1" applyFont="1" applyBorder="1" applyAlignment="1">
      <alignment vertical="center"/>
    </xf>
    <xf numFmtId="165" fontId="14" fillId="0" borderId="20" xfId="7" applyNumberFormat="1" applyFont="1" applyBorder="1" applyAlignment="1">
      <alignment vertical="center"/>
    </xf>
    <xf numFmtId="165" fontId="14" fillId="0" borderId="12" xfId="7" applyNumberFormat="1" applyFont="1" applyBorder="1" applyAlignment="1">
      <alignment vertical="center"/>
    </xf>
    <xf numFmtId="165" fontId="14" fillId="0" borderId="82" xfId="7" applyNumberFormat="1" applyFont="1" applyBorder="1" applyAlignment="1">
      <alignment vertical="center"/>
    </xf>
    <xf numFmtId="165" fontId="14" fillId="0" borderId="95" xfId="7" applyNumberFormat="1" applyFont="1" applyBorder="1" applyAlignment="1">
      <alignment vertical="center"/>
    </xf>
    <xf numFmtId="14" fontId="15" fillId="0" borderId="0" xfId="0" applyNumberFormat="1" applyFont="1" applyAlignment="1">
      <alignment vertical="center"/>
    </xf>
    <xf numFmtId="0" fontId="14" fillId="0" borderId="0" xfId="0" applyFont="1" applyAlignment="1">
      <alignment horizontal="center" vertical="center" wrapText="1"/>
    </xf>
    <xf numFmtId="0" fontId="15" fillId="3" borderId="47" xfId="0" applyFont="1" applyFill="1" applyBorder="1" applyAlignment="1">
      <alignment vertical="center"/>
    </xf>
    <xf numFmtId="0" fontId="15" fillId="3" borderId="106" xfId="0" applyFont="1" applyFill="1" applyBorder="1" applyAlignment="1">
      <alignment vertical="center" wrapText="1"/>
    </xf>
    <xf numFmtId="0" fontId="15" fillId="3" borderId="107" xfId="0" applyFont="1" applyFill="1" applyBorder="1" applyAlignment="1">
      <alignment vertical="center"/>
    </xf>
    <xf numFmtId="0" fontId="14" fillId="3" borderId="9" xfId="0" applyFont="1" applyFill="1" applyBorder="1" applyAlignment="1">
      <alignment horizontal="center" vertical="center" wrapText="1"/>
    </xf>
    <xf numFmtId="0" fontId="15" fillId="0" borderId="86" xfId="0" applyFont="1" applyBorder="1" applyAlignment="1">
      <alignment horizontal="center" vertical="center"/>
    </xf>
    <xf numFmtId="0" fontId="15" fillId="3" borderId="50" xfId="0" applyFont="1" applyFill="1" applyBorder="1" applyAlignment="1">
      <alignment vertical="center"/>
    </xf>
    <xf numFmtId="0" fontId="14" fillId="3" borderId="0" xfId="0" applyFont="1" applyFill="1" applyAlignment="1">
      <alignment horizontal="center" vertical="center" wrapText="1"/>
    </xf>
    <xf numFmtId="0" fontId="15" fillId="3" borderId="0" xfId="0" applyFont="1" applyFill="1" applyAlignment="1">
      <alignment horizontal="center" vertical="center"/>
    </xf>
    <xf numFmtId="0" fontId="15" fillId="0" borderId="103" xfId="0" applyFont="1" applyBorder="1" applyAlignment="1">
      <alignment vertical="center"/>
    </xf>
    <xf numFmtId="0" fontId="13" fillId="0" borderId="86" xfId="0" applyFont="1" applyBorder="1" applyAlignment="1">
      <alignment horizontal="left" vertical="center" wrapText="1"/>
    </xf>
    <xf numFmtId="165" fontId="7" fillId="36" borderId="86" xfId="7" applyNumberFormat="1" applyFont="1" applyFill="1" applyBorder="1" applyAlignment="1">
      <alignment vertical="center"/>
    </xf>
    <xf numFmtId="0" fontId="14" fillId="0" borderId="103" xfId="0" applyFont="1" applyBorder="1" applyAlignment="1">
      <alignment vertical="center"/>
    </xf>
    <xf numFmtId="0" fontId="14" fillId="0" borderId="86" xfId="0" applyFont="1" applyBorder="1" applyAlignment="1">
      <alignment vertical="center" wrapText="1"/>
    </xf>
    <xf numFmtId="0" fontId="130" fillId="3" borderId="50" xfId="0" applyFont="1" applyFill="1" applyBorder="1" applyAlignment="1">
      <alignment horizontal="left" vertical="center"/>
    </xf>
    <xf numFmtId="0" fontId="14" fillId="3" borderId="0" xfId="0" applyFont="1" applyFill="1" applyAlignment="1">
      <alignment horizontal="center" vertical="center"/>
    </xf>
    <xf numFmtId="165" fontId="15" fillId="3" borderId="79" xfId="7" applyNumberFormat="1" applyFont="1" applyFill="1" applyBorder="1" applyAlignment="1">
      <alignment vertical="center"/>
    </xf>
    <xf numFmtId="0" fontId="15" fillId="3" borderId="0" xfId="0" applyFont="1" applyFill="1" applyAlignment="1">
      <alignment vertical="center" wrapText="1"/>
    </xf>
    <xf numFmtId="0" fontId="15" fillId="3" borderId="79" xfId="0" applyFont="1" applyFill="1" applyBorder="1" applyAlignment="1">
      <alignment vertical="center"/>
    </xf>
    <xf numFmtId="0" fontId="14" fillId="0" borderId="16" xfId="0" applyFont="1" applyBorder="1" applyAlignment="1">
      <alignment vertical="center"/>
    </xf>
    <xf numFmtId="169" fontId="7" fillId="36" borderId="19" xfId="20" applyFont="1" applyBorder="1" applyAlignment="1">
      <alignment vertical="center"/>
    </xf>
    <xf numFmtId="169" fontId="7" fillId="36" borderId="98" xfId="20" applyFont="1" applyBorder="1" applyAlignment="1">
      <alignment vertical="center"/>
    </xf>
    <xf numFmtId="169" fontId="7" fillId="36" borderId="104" xfId="20" applyFont="1" applyBorder="1" applyAlignment="1">
      <alignment vertical="center"/>
    </xf>
    <xf numFmtId="10" fontId="14" fillId="0" borderId="18" xfId="20961" applyNumberFormat="1" applyFont="1" applyBorder="1" applyAlignment="1">
      <alignment vertical="center"/>
    </xf>
    <xf numFmtId="165" fontId="15" fillId="0" borderId="3" xfId="7" applyNumberFormat="1" applyFont="1" applyBorder="1"/>
    <xf numFmtId="165" fontId="15" fillId="0" borderId="6" xfId="7" applyNumberFormat="1" applyFont="1" applyBorder="1"/>
    <xf numFmtId="165" fontId="15" fillId="0" borderId="14" xfId="7" applyNumberFormat="1" applyFont="1" applyBorder="1"/>
    <xf numFmtId="0" fontId="14" fillId="0" borderId="0" xfId="0" applyFont="1" applyAlignment="1">
      <alignment horizontal="center" vertical="center"/>
    </xf>
    <xf numFmtId="0" fontId="14" fillId="35" borderId="3" xfId="0" applyFont="1" applyFill="1" applyBorder="1" applyAlignment="1">
      <alignment horizontal="left" vertical="center" wrapText="1"/>
    </xf>
    <xf numFmtId="165" fontId="7" fillId="3" borderId="14" xfId="7" applyNumberFormat="1" applyFont="1" applyFill="1" applyBorder="1" applyAlignment="1" applyProtection="1">
      <alignment vertical="center"/>
      <protection locked="0"/>
    </xf>
    <xf numFmtId="0" fontId="0" fillId="0" borderId="0" xfId="0" applyAlignment="1">
      <alignment vertical="center" wrapText="1"/>
    </xf>
    <xf numFmtId="0" fontId="7" fillId="0" borderId="0" xfId="13" applyFont="1" applyAlignment="1" applyProtection="1">
      <alignment vertical="center" wrapText="1"/>
      <protection locked="0"/>
    </xf>
    <xf numFmtId="0" fontId="7" fillId="0" borderId="130" xfId="13" applyFont="1" applyBorder="1" applyAlignment="1" applyProtection="1">
      <alignment vertical="center" wrapText="1"/>
      <protection locked="0"/>
    </xf>
    <xf numFmtId="165" fontId="7" fillId="80" borderId="14" xfId="7" applyNumberFormat="1" applyFont="1" applyFill="1" applyBorder="1" applyAlignment="1" applyProtection="1">
      <alignment vertical="center" wrapText="1"/>
      <protection locked="0"/>
    </xf>
    <xf numFmtId="1" fontId="8" fillId="35" borderId="3" xfId="2" applyNumberFormat="1" applyFont="1" applyFill="1" applyBorder="1" applyAlignment="1" applyProtection="1">
      <alignment horizontal="left" vertical="center" wrapText="1"/>
    </xf>
    <xf numFmtId="165" fontId="7" fillId="3" borderId="14" xfId="7" applyNumberFormat="1" applyFont="1" applyFill="1" applyBorder="1" applyAlignment="1" applyProtection="1">
      <alignment vertical="center" wrapText="1"/>
      <protection locked="0"/>
    </xf>
    <xf numFmtId="165" fontId="7" fillId="35" borderId="14" xfId="7" applyNumberFormat="1" applyFont="1" applyFill="1" applyBorder="1" applyAlignment="1" applyProtection="1">
      <alignment vertical="center" wrapText="1"/>
      <protection locked="0"/>
    </xf>
    <xf numFmtId="165" fontId="8" fillId="35" borderId="14" xfId="7" applyNumberFormat="1" applyFont="1" applyFill="1" applyBorder="1" applyAlignment="1" applyProtection="1">
      <alignment vertical="center"/>
    </xf>
    <xf numFmtId="165" fontId="8" fillId="35" borderId="14" xfId="7" applyNumberFormat="1" applyFont="1" applyFill="1" applyBorder="1" applyAlignment="1" applyProtection="1">
      <alignment vertical="center" wrapText="1"/>
    </xf>
    <xf numFmtId="165" fontId="8" fillId="35" borderId="18" xfId="7" applyNumberFormat="1" applyFont="1" applyFill="1" applyBorder="1" applyAlignment="1" applyProtection="1">
      <alignment vertical="center" wrapText="1"/>
    </xf>
    <xf numFmtId="10" fontId="7" fillId="0" borderId="86" xfId="20961" applyNumberFormat="1" applyFont="1" applyFill="1" applyBorder="1" applyAlignment="1">
      <alignment horizontal="center" vertical="center" wrapText="1"/>
    </xf>
    <xf numFmtId="10" fontId="15" fillId="0" borderId="86" xfId="20961" applyNumberFormat="1" applyFont="1" applyFill="1" applyBorder="1" applyAlignment="1">
      <alignment horizontal="center" vertical="center" wrapText="1"/>
    </xf>
    <xf numFmtId="10" fontId="7" fillId="0" borderId="17" xfId="20961" applyNumberFormat="1" applyFont="1" applyFill="1" applyBorder="1" applyAlignment="1" applyProtection="1">
      <alignment horizontal="center" vertical="center"/>
    </xf>
    <xf numFmtId="49" fontId="15" fillId="0" borderId="103" xfId="0" applyNumberFormat="1" applyFont="1" applyBorder="1" applyAlignment="1">
      <alignment horizontal="center" vertical="center" wrapText="1"/>
    </xf>
    <xf numFmtId="165" fontId="15" fillId="0" borderId="101" xfId="7" applyNumberFormat="1" applyFont="1" applyBorder="1" applyAlignment="1">
      <alignment horizontal="right" vertical="center" wrapText="1"/>
    </xf>
    <xf numFmtId="0" fontId="14" fillId="0" borderId="124" xfId="0" applyFont="1" applyBorder="1" applyAlignment="1">
      <alignment horizontal="center" vertical="center" wrapText="1"/>
    </xf>
    <xf numFmtId="49" fontId="7" fillId="3" borderId="124" xfId="5" applyNumberFormat="1" applyFont="1" applyFill="1" applyBorder="1" applyAlignment="1" applyProtection="1">
      <alignment horizontal="right" vertical="center"/>
      <protection locked="0"/>
    </xf>
    <xf numFmtId="0" fontId="7" fillId="3" borderId="124" xfId="13" applyFont="1" applyFill="1" applyBorder="1" applyAlignment="1" applyProtection="1">
      <alignment horizontal="left" vertical="center" wrapText="1"/>
      <protection locked="0"/>
    </xf>
    <xf numFmtId="0" fontId="7" fillId="0" borderId="124" xfId="13" applyFont="1" applyBorder="1" applyAlignment="1" applyProtection="1">
      <alignment horizontal="left" vertical="center" wrapText="1"/>
      <protection locked="0"/>
    </xf>
    <xf numFmtId="0" fontId="12" fillId="0" borderId="124" xfId="13" applyFont="1" applyBorder="1" applyAlignment="1" applyProtection="1">
      <alignment horizontal="left" vertical="center" wrapText="1"/>
      <protection locked="0"/>
    </xf>
    <xf numFmtId="49" fontId="7" fillId="0" borderId="124" xfId="5" applyNumberFormat="1" applyFont="1" applyBorder="1" applyAlignment="1" applyProtection="1">
      <alignment horizontal="right" vertical="center"/>
      <protection locked="0"/>
    </xf>
    <xf numFmtId="49" fontId="8" fillId="0" borderId="124" xfId="5" applyNumberFormat="1" applyFont="1" applyBorder="1" applyAlignment="1" applyProtection="1">
      <alignment horizontal="right" vertical="center"/>
      <protection locked="0"/>
    </xf>
    <xf numFmtId="165" fontId="100" fillId="0" borderId="130" xfId="7" applyNumberFormat="1" applyFont="1" applyBorder="1"/>
    <xf numFmtId="165" fontId="103" fillId="0" borderId="130" xfId="7" applyNumberFormat="1" applyFont="1" applyBorder="1"/>
    <xf numFmtId="165" fontId="104" fillId="0" borderId="130" xfId="7" applyNumberFormat="1" applyFont="1" applyBorder="1" applyAlignment="1">
      <alignment horizontal="center" vertical="center" wrapText="1"/>
    </xf>
    <xf numFmtId="165" fontId="101" fillId="0" borderId="130" xfId="7" applyNumberFormat="1" applyFont="1" applyBorder="1"/>
    <xf numFmtId="165" fontId="104" fillId="0" borderId="130" xfId="7" applyNumberFormat="1" applyFont="1" applyBorder="1"/>
    <xf numFmtId="0" fontId="7" fillId="0" borderId="5" xfId="0" applyFont="1" applyBorder="1" applyAlignment="1">
      <alignment horizontal="center" vertical="center" wrapText="1"/>
    </xf>
    <xf numFmtId="165" fontId="14" fillId="35" borderId="17" xfId="7" applyNumberFormat="1" applyFont="1" applyFill="1" applyBorder="1"/>
    <xf numFmtId="9" fontId="14" fillId="35" borderId="18" xfId="20961" applyFont="1" applyFill="1" applyBorder="1"/>
    <xf numFmtId="0" fontId="8" fillId="3" borderId="16" xfId="9" applyFont="1" applyFill="1" applyBorder="1" applyAlignment="1" applyProtection="1">
      <alignment horizontal="left" vertical="center"/>
      <protection locked="0"/>
    </xf>
    <xf numFmtId="165" fontId="14" fillId="35" borderId="18" xfId="7" applyNumberFormat="1" applyFont="1" applyFill="1" applyBorder="1"/>
    <xf numFmtId="0" fontId="138" fillId="0" borderId="0" xfId="0" applyFont="1"/>
    <xf numFmtId="0" fontId="15" fillId="0" borderId="10" xfId="0" applyFont="1" applyBorder="1" applyAlignment="1">
      <alignment vertical="center" wrapText="1"/>
    </xf>
    <xf numFmtId="0" fontId="14" fillId="0" borderId="11" xfId="0" applyFont="1" applyBorder="1" applyAlignment="1">
      <alignment vertical="center" wrapText="1"/>
    </xf>
    <xf numFmtId="0" fontId="15" fillId="0" borderId="140" xfId="0" applyFont="1" applyBorder="1" applyAlignment="1">
      <alignment horizontal="center" vertical="center" wrapText="1"/>
    </xf>
    <xf numFmtId="0" fontId="15" fillId="0" borderId="130" xfId="0" applyFont="1" applyBorder="1" applyAlignment="1">
      <alignment vertical="center" wrapText="1"/>
    </xf>
    <xf numFmtId="0" fontId="15" fillId="0" borderId="138" xfId="0" applyFont="1" applyBorder="1" applyAlignment="1">
      <alignment horizontal="center" vertical="center" wrapText="1"/>
    </xf>
    <xf numFmtId="0" fontId="14" fillId="0" borderId="137"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65" fontId="139" fillId="0" borderId="0" xfId="0" applyNumberFormat="1" applyFont="1" applyAlignment="1">
      <alignment vertical="center"/>
    </xf>
    <xf numFmtId="14" fontId="7" fillId="3" borderId="130" xfId="8" quotePrefix="1" applyNumberFormat="1" applyFont="1" applyFill="1" applyBorder="1" applyAlignment="1" applyProtection="1">
      <alignment horizontal="left" vertical="center" wrapText="1"/>
      <protection locked="0"/>
    </xf>
    <xf numFmtId="0" fontId="15" fillId="0" borderId="130" xfId="0" applyFont="1" applyBorder="1" applyAlignment="1">
      <alignment horizontal="left" vertical="center" wrapText="1"/>
    </xf>
    <xf numFmtId="165" fontId="103" fillId="0" borderId="130" xfId="7" applyNumberFormat="1" applyFont="1" applyBorder="1" applyAlignment="1"/>
    <xf numFmtId="165" fontId="100" fillId="0" borderId="130" xfId="7" applyNumberFormat="1" applyFont="1" applyBorder="1" applyAlignment="1"/>
    <xf numFmtId="0" fontId="100" fillId="0" borderId="0" xfId="0" applyFont="1" applyAlignment="1">
      <alignment vertical="center"/>
    </xf>
    <xf numFmtId="0" fontId="102" fillId="0" borderId="0" xfId="11" applyFont="1" applyAlignment="1">
      <alignment vertical="center"/>
    </xf>
    <xf numFmtId="0" fontId="100" fillId="0" borderId="5" xfId="0" applyFont="1" applyBorder="1" applyAlignment="1">
      <alignment vertical="center" wrapText="1"/>
    </xf>
    <xf numFmtId="0" fontId="100" fillId="0" borderId="46" xfId="0" applyFont="1" applyBorder="1" applyAlignment="1">
      <alignment vertical="center" wrapText="1"/>
    </xf>
    <xf numFmtId="0" fontId="103" fillId="0" borderId="130" xfId="0" applyFont="1" applyBorder="1" applyAlignment="1">
      <alignment vertical="center"/>
    </xf>
    <xf numFmtId="165" fontId="103" fillId="0" borderId="130" xfId="7" applyNumberFormat="1" applyFont="1" applyBorder="1" applyAlignment="1">
      <alignment vertical="center"/>
    </xf>
    <xf numFmtId="0" fontId="100" fillId="0" borderId="130" xfId="0" applyFont="1" applyBorder="1" applyAlignment="1">
      <alignment vertical="center"/>
    </xf>
    <xf numFmtId="0" fontId="100" fillId="0" borderId="130" xfId="0" applyFont="1" applyBorder="1" applyAlignment="1">
      <alignment horizontal="left" vertical="center"/>
    </xf>
    <xf numFmtId="165" fontId="100" fillId="0" borderId="130" xfId="7" applyNumberFormat="1" applyFont="1" applyBorder="1" applyAlignment="1">
      <alignment horizontal="left" vertical="center"/>
    </xf>
    <xf numFmtId="165" fontId="100" fillId="0" borderId="130" xfId="7" applyNumberFormat="1" applyFont="1" applyBorder="1" applyAlignment="1">
      <alignment vertical="center"/>
    </xf>
    <xf numFmtId="165" fontId="100" fillId="0" borderId="130" xfId="7" applyNumberFormat="1" applyFont="1" applyFill="1" applyBorder="1" applyAlignment="1">
      <alignment horizontal="left" vertical="center"/>
    </xf>
    <xf numFmtId="165" fontId="100" fillId="80" borderId="130" xfId="7" applyNumberFormat="1" applyFont="1" applyFill="1" applyBorder="1" applyAlignment="1">
      <alignment vertical="center"/>
    </xf>
    <xf numFmtId="0" fontId="101" fillId="0" borderId="0" xfId="0" applyFont="1" applyAlignment="1">
      <alignment vertical="center"/>
    </xf>
    <xf numFmtId="165" fontId="100" fillId="35" borderId="130" xfId="7" applyNumberFormat="1" applyFont="1" applyFill="1" applyBorder="1" applyAlignment="1">
      <alignment vertical="center"/>
    </xf>
    <xf numFmtId="0" fontId="104" fillId="0" borderId="0" xfId="0" applyFont="1" applyAlignment="1">
      <alignment vertical="center"/>
    </xf>
    <xf numFmtId="0" fontId="100" fillId="0" borderId="130" xfId="0" applyFont="1" applyBorder="1" applyAlignment="1">
      <alignment vertical="center" wrapText="1"/>
    </xf>
    <xf numFmtId="0" fontId="101" fillId="0" borderId="0" xfId="0" applyFont="1" applyAlignment="1">
      <alignment vertical="center" wrapText="1"/>
    </xf>
    <xf numFmtId="165" fontId="104" fillId="0" borderId="0" xfId="7" applyNumberFormat="1" applyFont="1" applyAlignment="1">
      <alignment vertical="center"/>
    </xf>
    <xf numFmtId="0" fontId="101" fillId="0" borderId="0" xfId="0" applyFont="1" applyAlignment="1">
      <alignment horizontal="left" vertical="center" wrapText="1"/>
    </xf>
    <xf numFmtId="0" fontId="101" fillId="0" borderId="0" xfId="0" applyFont="1" applyAlignment="1">
      <alignment horizontal="left" vertical="center"/>
    </xf>
    <xf numFmtId="165" fontId="100" fillId="0" borderId="130" xfId="7" applyNumberFormat="1" applyFont="1" applyBorder="1" applyAlignment="1">
      <alignment horizontal="center" vertical="center"/>
    </xf>
    <xf numFmtId="165" fontId="100" fillId="0" borderId="130" xfId="0" applyNumberFormat="1" applyFont="1" applyBorder="1" applyAlignment="1">
      <alignment horizontal="left" vertical="center"/>
    </xf>
    <xf numFmtId="165" fontId="103" fillId="0" borderId="130" xfId="0" applyNumberFormat="1" applyFont="1" applyBorder="1" applyAlignment="1">
      <alignment horizontal="left" vertical="center"/>
    </xf>
    <xf numFmtId="165" fontId="103" fillId="0" borderId="130" xfId="7" applyNumberFormat="1" applyFont="1" applyBorder="1" applyAlignment="1">
      <alignment horizontal="center" vertical="center"/>
    </xf>
    <xf numFmtId="0" fontId="103" fillId="0" borderId="0" xfId="0" applyFont="1"/>
    <xf numFmtId="0" fontId="112" fillId="0" borderId="0" xfId="0" applyFont="1" applyAlignment="1">
      <alignment vertical="center"/>
    </xf>
    <xf numFmtId="0" fontId="112" fillId="0" borderId="5" xfId="0" applyFont="1" applyBorder="1" applyAlignment="1">
      <alignment vertical="center"/>
    </xf>
    <xf numFmtId="0" fontId="105" fillId="0" borderId="130" xfId="0" applyFont="1" applyBorder="1" applyAlignment="1">
      <alignment horizontal="left" vertical="center"/>
    </xf>
    <xf numFmtId="165" fontId="105" fillId="0" borderId="130" xfId="7" applyNumberFormat="1" applyFont="1" applyBorder="1" applyAlignment="1">
      <alignment vertical="center"/>
    </xf>
    <xf numFmtId="0" fontId="100" fillId="0" borderId="122" xfId="0" applyFont="1" applyBorder="1" applyAlignment="1">
      <alignment horizontal="left" vertical="center" wrapText="1" readingOrder="1"/>
    </xf>
    <xf numFmtId="0" fontId="105" fillId="0" borderId="131" xfId="0" applyFont="1" applyBorder="1" applyAlignment="1">
      <alignment horizontal="left" vertical="center"/>
    </xf>
    <xf numFmtId="165" fontId="105" fillId="0" borderId="131" xfId="7" applyNumberFormat="1" applyFont="1" applyBorder="1" applyAlignment="1">
      <alignment vertical="center"/>
    </xf>
    <xf numFmtId="0" fontId="105" fillId="0" borderId="0" xfId="0" applyFont="1" applyAlignment="1">
      <alignment vertical="center"/>
    </xf>
    <xf numFmtId="0" fontId="108" fillId="0" borderId="0" xfId="0" applyFont="1" applyAlignment="1">
      <alignment vertical="center"/>
    </xf>
    <xf numFmtId="165" fontId="141" fillId="0" borderId="0" xfId="7" applyNumberFormat="1" applyFont="1" applyAlignment="1">
      <alignment vertical="center"/>
    </xf>
    <xf numFmtId="0" fontId="7" fillId="0" borderId="0" xfId="0" applyFont="1" applyAlignment="1">
      <alignment vertical="center" wrapText="1"/>
    </xf>
    <xf numFmtId="0" fontId="136" fillId="0" borderId="0" xfId="11" applyFont="1" applyAlignment="1">
      <alignment vertical="center"/>
    </xf>
    <xf numFmtId="14" fontId="7" fillId="0" borderId="0" xfId="0" applyNumberFormat="1" applyFont="1" applyAlignment="1">
      <alignment vertical="center"/>
    </xf>
    <xf numFmtId="0" fontId="7" fillId="0" borderId="5" xfId="0" applyFont="1" applyBorder="1" applyAlignment="1">
      <alignment vertical="center" wrapText="1"/>
    </xf>
    <xf numFmtId="0" fontId="7" fillId="0" borderId="56" xfId="0" applyFont="1" applyBorder="1" applyAlignment="1">
      <alignment vertical="center"/>
    </xf>
    <xf numFmtId="0" fontId="8" fillId="0" borderId="51" xfId="0" applyFont="1" applyBorder="1" applyAlignment="1">
      <alignment vertical="center"/>
    </xf>
    <xf numFmtId="165" fontId="7" fillId="0" borderId="130" xfId="7" applyNumberFormat="1" applyFont="1" applyBorder="1" applyAlignment="1">
      <alignment vertical="center"/>
    </xf>
    <xf numFmtId="165" fontId="7" fillId="0" borderId="139" xfId="7" applyNumberFormat="1" applyFont="1" applyBorder="1" applyAlignment="1">
      <alignment vertical="center"/>
    </xf>
    <xf numFmtId="0" fontId="7" fillId="0" borderId="140" xfId="0" applyFont="1" applyBorder="1" applyAlignment="1">
      <alignment horizontal="left" vertical="center"/>
    </xf>
    <xf numFmtId="0" fontId="7" fillId="0" borderId="139" xfId="0" applyFont="1" applyBorder="1" applyAlignment="1">
      <alignment horizontal="left" vertical="center"/>
    </xf>
    <xf numFmtId="165" fontId="7" fillId="0" borderId="140" xfId="7" applyNumberFormat="1" applyFont="1" applyBorder="1" applyAlignment="1">
      <alignment horizontal="left" vertical="center"/>
    </xf>
    <xf numFmtId="49" fontId="7" fillId="0" borderId="140" xfId="0" applyNumberFormat="1" applyFont="1" applyBorder="1" applyAlignment="1">
      <alignment horizontal="left" vertical="center"/>
    </xf>
    <xf numFmtId="49" fontId="7" fillId="0" borderId="139" xfId="0" applyNumberFormat="1" applyFont="1" applyBorder="1" applyAlignment="1">
      <alignment horizontal="left" vertical="center"/>
    </xf>
    <xf numFmtId="165" fontId="7" fillId="79" borderId="140" xfId="7" applyNumberFormat="1" applyFont="1" applyFill="1" applyBorder="1" applyAlignment="1">
      <alignment vertical="center"/>
    </xf>
    <xf numFmtId="165" fontId="7" fillId="79" borderId="130" xfId="7" applyNumberFormat="1" applyFont="1" applyFill="1" applyBorder="1" applyAlignment="1">
      <alignment vertical="center"/>
    </xf>
    <xf numFmtId="165" fontId="7" fillId="79" borderId="139" xfId="7" applyNumberFormat="1" applyFont="1" applyFill="1" applyBorder="1" applyAlignment="1">
      <alignment vertical="center"/>
    </xf>
    <xf numFmtId="49" fontId="7" fillId="0" borderId="140" xfId="0" applyNumberFormat="1" applyFont="1" applyBorder="1" applyAlignment="1">
      <alignment horizontal="left" vertical="center" wrapText="1"/>
    </xf>
    <xf numFmtId="49" fontId="7" fillId="0" borderId="139" xfId="0" applyNumberFormat="1" applyFont="1" applyBorder="1" applyAlignment="1">
      <alignment horizontal="left" vertical="center" wrapText="1"/>
    </xf>
    <xf numFmtId="165" fontId="7" fillId="0" borderId="140" xfId="7" applyNumberFormat="1" applyFont="1" applyBorder="1" applyAlignment="1">
      <alignment horizontal="left" vertical="center" wrapText="1"/>
    </xf>
    <xf numFmtId="0" fontId="7" fillId="0" borderId="140" xfId="0" applyFont="1" applyBorder="1" applyAlignment="1">
      <alignment horizontal="left" vertical="center" wrapText="1"/>
    </xf>
    <xf numFmtId="0" fontId="7" fillId="0" borderId="138" xfId="0" applyFont="1" applyBorder="1" applyAlignment="1">
      <alignment horizontal="left" vertical="center" wrapText="1"/>
    </xf>
    <xf numFmtId="49" fontId="7" fillId="0" borderId="136" xfId="0" applyNumberFormat="1" applyFont="1" applyBorder="1" applyAlignment="1">
      <alignment horizontal="left" vertical="center" wrapText="1"/>
    </xf>
    <xf numFmtId="165" fontId="7" fillId="0" borderId="138" xfId="7" applyNumberFormat="1" applyFont="1" applyBorder="1" applyAlignment="1">
      <alignment horizontal="left" vertical="center" wrapText="1"/>
    </xf>
    <xf numFmtId="165" fontId="7" fillId="0" borderId="137" xfId="7" applyNumberFormat="1" applyFont="1" applyBorder="1" applyAlignment="1">
      <alignment vertical="center"/>
    </xf>
    <xf numFmtId="165" fontId="7" fillId="0" borderId="136" xfId="7" applyNumberFormat="1" applyFont="1" applyBorder="1" applyAlignment="1">
      <alignment vertical="center"/>
    </xf>
    <xf numFmtId="0" fontId="7" fillId="0" borderId="146"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149" xfId="0" applyFont="1" applyBorder="1" applyAlignment="1">
      <alignment horizontal="center" vertical="center" wrapText="1"/>
    </xf>
    <xf numFmtId="0" fontId="7" fillId="0" borderId="113" xfId="0" applyFont="1" applyBorder="1" applyAlignment="1">
      <alignment vertical="center" wrapText="1"/>
    </xf>
    <xf numFmtId="165" fontId="8" fillId="0" borderId="0" xfId="7" applyNumberFormat="1" applyFont="1" applyAlignment="1">
      <alignment vertical="center"/>
    </xf>
    <xf numFmtId="0" fontId="8" fillId="0" borderId="12" xfId="0" applyFont="1" applyBorder="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right" vertical="center" wrapText="1"/>
    </xf>
    <xf numFmtId="0" fontId="7" fillId="0" borderId="10" xfId="0" applyFont="1" applyBorder="1" applyAlignment="1">
      <alignment vertical="center"/>
    </xf>
    <xf numFmtId="0" fontId="8" fillId="0" borderId="20" xfId="0" applyFont="1" applyBorder="1" applyAlignment="1">
      <alignment horizontal="center" vertical="center" wrapText="1"/>
    </xf>
    <xf numFmtId="0" fontId="7" fillId="0" borderId="6" xfId="0" applyFont="1" applyBorder="1" applyAlignment="1">
      <alignment vertical="center" wrapText="1"/>
    </xf>
    <xf numFmtId="0" fontId="15" fillId="0" borderId="101" xfId="0" applyFont="1" applyBorder="1" applyAlignment="1">
      <alignment vertical="center"/>
    </xf>
    <xf numFmtId="0" fontId="7" fillId="0" borderId="101" xfId="0" applyFont="1" applyBorder="1" applyAlignment="1">
      <alignment vertical="center"/>
    </xf>
    <xf numFmtId="0" fontId="7" fillId="0" borderId="101" xfId="0" applyFont="1" applyBorder="1" applyAlignment="1">
      <alignment vertical="center" wrapText="1"/>
    </xf>
    <xf numFmtId="0" fontId="7" fillId="0" borderId="15" xfId="0" applyFont="1" applyBorder="1" applyAlignment="1">
      <alignment vertical="center" wrapText="1"/>
    </xf>
    <xf numFmtId="0" fontId="15" fillId="0" borderId="15" xfId="0" applyFont="1" applyBorder="1" applyAlignment="1">
      <alignment vertical="center"/>
    </xf>
    <xf numFmtId="0" fontId="7" fillId="0" borderId="133" xfId="0" applyFont="1" applyBorder="1" applyAlignment="1">
      <alignment vertical="center" wrapText="1"/>
    </xf>
    <xf numFmtId="0" fontId="7" fillId="0" borderId="16" xfId="0" applyFont="1" applyBorder="1" applyAlignment="1">
      <alignment vertical="center"/>
    </xf>
    <xf numFmtId="0" fontId="7" fillId="0" borderId="19" xfId="0" applyFont="1" applyBorder="1" applyAlignment="1">
      <alignment vertical="center" wrapText="1"/>
    </xf>
    <xf numFmtId="0" fontId="15" fillId="0" borderId="18" xfId="0" applyFont="1" applyBorder="1" applyAlignment="1">
      <alignment vertical="center"/>
    </xf>
    <xf numFmtId="10" fontId="15" fillId="0" borderId="15" xfId="20961" applyNumberFormat="1" applyFont="1" applyBorder="1" applyAlignment="1">
      <alignment horizontal="left" vertical="center"/>
    </xf>
    <xf numFmtId="0" fontId="7" fillId="0" borderId="148" xfId="0" applyFont="1" applyBorder="1" applyAlignment="1">
      <alignment vertical="center" wrapText="1"/>
    </xf>
    <xf numFmtId="10" fontId="15" fillId="0" borderId="101" xfId="20961" applyNumberFormat="1" applyFont="1" applyBorder="1" applyAlignment="1">
      <alignment horizontal="left" vertical="center"/>
    </xf>
    <xf numFmtId="10" fontId="15" fillId="0" borderId="149" xfId="20961" applyNumberFormat="1" applyFont="1" applyBorder="1" applyAlignment="1">
      <alignment horizontal="left" vertical="center"/>
    </xf>
    <xf numFmtId="165" fontId="15" fillId="0" borderId="13" xfId="7" applyNumberFormat="1" applyFont="1" applyBorder="1"/>
    <xf numFmtId="165" fontId="15" fillId="0" borderId="15" xfId="7" applyNumberFormat="1" applyFont="1" applyBorder="1" applyAlignment="1">
      <alignment wrapText="1"/>
    </xf>
    <xf numFmtId="165" fontId="15" fillId="0" borderId="15" xfId="7" applyNumberFormat="1" applyFont="1" applyBorder="1"/>
    <xf numFmtId="165" fontId="15" fillId="35" borderId="44" xfId="7" applyNumberFormat="1" applyFont="1" applyFill="1" applyBorder="1"/>
    <xf numFmtId="165" fontId="15" fillId="35" borderId="16" xfId="7" applyNumberFormat="1" applyFont="1" applyFill="1" applyBorder="1"/>
    <xf numFmtId="165" fontId="15" fillId="35" borderId="17" xfId="7" applyNumberFormat="1" applyFont="1" applyFill="1" applyBorder="1"/>
    <xf numFmtId="165" fontId="15" fillId="35" borderId="18" xfId="7" applyNumberFormat="1" applyFont="1" applyFill="1" applyBorder="1"/>
    <xf numFmtId="165" fontId="15" fillId="35" borderId="45" xfId="7" applyNumberFormat="1" applyFont="1" applyFill="1" applyBorder="1"/>
    <xf numFmtId="0" fontId="7" fillId="0" borderId="1" xfId="11" applyFont="1" applyBorder="1" applyAlignment="1">
      <alignment vertical="center"/>
    </xf>
    <xf numFmtId="0" fontId="7" fillId="0" borderId="0" xfId="11" applyFont="1" applyAlignment="1">
      <alignment horizontal="left" vertical="center"/>
    </xf>
    <xf numFmtId="0" fontId="12" fillId="0" borderId="0" xfId="11" applyFont="1" applyAlignment="1">
      <alignment horizontal="right" vertical="center"/>
    </xf>
    <xf numFmtId="0" fontId="15" fillId="0" borderId="140" xfId="0" applyFont="1" applyBorder="1" applyAlignment="1">
      <alignment vertical="center"/>
    </xf>
    <xf numFmtId="0" fontId="15" fillId="0" borderId="140" xfId="0" applyFont="1" applyBorder="1" applyAlignment="1">
      <alignment horizontal="center" vertical="center"/>
    </xf>
    <xf numFmtId="0" fontId="8" fillId="3" borderId="148" xfId="21414" applyFont="1" applyFill="1" applyBorder="1" applyAlignment="1">
      <alignment horizontal="left" vertical="center" wrapText="1"/>
    </xf>
    <xf numFmtId="165" fontId="15" fillId="0" borderId="148" xfId="7" applyNumberFormat="1" applyFont="1" applyFill="1" applyBorder="1" applyAlignment="1">
      <alignment vertical="center" wrapText="1"/>
    </xf>
    <xf numFmtId="165" fontId="15" fillId="0" borderId="149" xfId="7" applyNumberFormat="1" applyFont="1" applyFill="1" applyBorder="1" applyAlignment="1">
      <alignment vertical="center" wrapText="1"/>
    </xf>
    <xf numFmtId="0" fontId="7" fillId="0" borderId="148" xfId="21414" applyFont="1" applyBorder="1" applyAlignment="1">
      <alignment horizontal="left" vertical="center" wrapText="1"/>
    </xf>
    <xf numFmtId="0" fontId="132" fillId="3" borderId="148" xfId="21414" applyFont="1" applyFill="1" applyBorder="1" applyAlignment="1">
      <alignment horizontal="left" vertical="center" wrapText="1"/>
    </xf>
    <xf numFmtId="0" fontId="7" fillId="3" borderId="148" xfId="21414" applyFont="1" applyFill="1" applyBorder="1" applyAlignment="1">
      <alignment horizontal="left" vertical="center" wrapText="1"/>
    </xf>
    <xf numFmtId="0" fontId="8" fillId="0" borderId="148" xfId="0" applyFont="1" applyBorder="1" applyAlignment="1">
      <alignment horizontal="left" vertical="center" wrapText="1"/>
    </xf>
    <xf numFmtId="0" fontId="132" fillId="0" borderId="148" xfId="0" applyFont="1" applyBorder="1" applyAlignment="1">
      <alignment horizontal="left" vertical="center" wrapText="1"/>
    </xf>
    <xf numFmtId="0" fontId="133" fillId="3" borderId="148" xfId="0" applyFont="1" applyFill="1" applyBorder="1" applyAlignment="1">
      <alignment horizontal="left" vertical="center" wrapText="1"/>
    </xf>
    <xf numFmtId="165" fontId="15" fillId="0" borderId="148" xfId="7" applyNumberFormat="1" applyFont="1" applyBorder="1" applyAlignment="1">
      <alignment vertical="center"/>
    </xf>
    <xf numFmtId="0" fontId="132" fillId="3" borderId="148" xfId="0" applyFont="1" applyFill="1" applyBorder="1" applyAlignment="1">
      <alignment horizontal="left" vertical="center" wrapText="1"/>
    </xf>
    <xf numFmtId="165" fontId="15" fillId="0" borderId="149" xfId="7" applyNumberFormat="1" applyFont="1" applyBorder="1" applyAlignment="1">
      <alignment vertical="center"/>
    </xf>
    <xf numFmtId="0" fontId="133" fillId="0" borderId="148" xfId="0" applyFont="1" applyBorder="1" applyAlignment="1">
      <alignment horizontal="left" vertical="center" wrapText="1"/>
    </xf>
    <xf numFmtId="0" fontId="133" fillId="0" borderId="148" xfId="21414" applyFont="1" applyBorder="1" applyAlignment="1">
      <alignment horizontal="left" vertical="center" wrapText="1"/>
    </xf>
    <xf numFmtId="0" fontId="15" fillId="0" borderId="138" xfId="0" applyFont="1" applyBorder="1" applyAlignment="1">
      <alignment vertical="center"/>
    </xf>
    <xf numFmtId="165" fontId="14" fillId="35" borderId="137" xfId="7" applyNumberFormat="1" applyFont="1" applyFill="1" applyBorder="1" applyAlignment="1">
      <alignment horizontal="center" vertical="center"/>
    </xf>
    <xf numFmtId="165" fontId="14" fillId="35" borderId="136" xfId="7" applyNumberFormat="1" applyFont="1" applyFill="1" applyBorder="1" applyAlignment="1">
      <alignment horizontal="center" vertical="center"/>
    </xf>
    <xf numFmtId="0" fontId="8" fillId="76" borderId="87" xfId="21412" applyFont="1" applyFill="1" applyBorder="1" applyAlignment="1" applyProtection="1">
      <alignment vertical="center" wrapText="1"/>
      <protection locked="0"/>
    </xf>
    <xf numFmtId="0" fontId="7" fillId="69" borderId="81" xfId="21412" applyFont="1" applyFill="1" applyBorder="1" applyAlignment="1" applyProtection="1">
      <alignment horizontal="center" vertical="center"/>
      <protection locked="0"/>
    </xf>
    <xf numFmtId="0" fontId="7" fillId="0" borderId="85" xfId="21412" applyFont="1" applyBorder="1" applyAlignment="1" applyProtection="1">
      <alignment horizontal="left" vertical="center" wrapText="1"/>
      <protection locked="0"/>
    </xf>
    <xf numFmtId="165" fontId="7" fillId="0" borderId="86" xfId="948" applyNumberFormat="1" applyFont="1" applyFill="1" applyBorder="1" applyAlignment="1" applyProtection="1">
      <alignment horizontal="right" vertical="center"/>
      <protection locked="0"/>
    </xf>
    <xf numFmtId="0" fontId="8" fillId="77" borderId="86" xfId="21412" applyFont="1" applyFill="1" applyBorder="1" applyAlignment="1" applyProtection="1">
      <alignment horizontal="center" vertical="center"/>
      <protection locked="0"/>
    </xf>
    <xf numFmtId="165" fontId="7" fillId="77" borderId="86" xfId="948" applyNumberFormat="1" applyFont="1" applyFill="1" applyBorder="1" applyAlignment="1" applyProtection="1">
      <alignment horizontal="right" vertical="center"/>
    </xf>
    <xf numFmtId="0" fontId="7" fillId="69" borderId="130" xfId="21412" applyFont="1" applyFill="1" applyBorder="1" applyAlignment="1" applyProtection="1">
      <alignment vertical="center" wrapText="1"/>
      <protection locked="0"/>
    </xf>
    <xf numFmtId="0" fontId="7" fillId="69" borderId="130" xfId="21412" applyFont="1" applyFill="1" applyBorder="1" applyAlignment="1" applyProtection="1">
      <alignment horizontal="left" vertical="center" wrapText="1"/>
      <protection locked="0"/>
    </xf>
    <xf numFmtId="0" fontId="7" fillId="0" borderId="130" xfId="21412" applyFont="1" applyBorder="1" applyAlignment="1" applyProtection="1">
      <alignment horizontal="left" vertical="center" wrapText="1"/>
      <protection locked="0"/>
    </xf>
    <xf numFmtId="0" fontId="7" fillId="3" borderId="81" xfId="21412" applyFont="1" applyFill="1" applyBorder="1" applyAlignment="1" applyProtection="1">
      <alignment horizontal="center" vertical="center"/>
      <protection locked="0"/>
    </xf>
    <xf numFmtId="0" fontId="7" fillId="0" borderId="130" xfId="21412" applyFont="1" applyBorder="1" applyAlignment="1" applyProtection="1">
      <alignment vertical="center" wrapText="1"/>
      <protection locked="0"/>
    </xf>
    <xf numFmtId="0" fontId="8" fillId="77" borderId="85" xfId="21412" applyFont="1" applyFill="1" applyBorder="1" applyAlignment="1" applyProtection="1">
      <alignment vertical="center" wrapText="1"/>
      <protection locked="0"/>
    </xf>
    <xf numFmtId="0" fontId="7" fillId="69" borderId="85" xfId="21412" applyFont="1" applyFill="1" applyBorder="1" applyAlignment="1" applyProtection="1">
      <alignment vertical="center" wrapText="1"/>
      <protection locked="0"/>
    </xf>
    <xf numFmtId="165" fontId="7" fillId="3" borderId="86" xfId="948" applyNumberFormat="1" applyFont="1" applyFill="1" applyBorder="1" applyAlignment="1" applyProtection="1">
      <alignment horizontal="right" vertical="center"/>
      <protection locked="0"/>
    </xf>
    <xf numFmtId="0" fontId="7" fillId="3" borderId="130" xfId="21412" applyFont="1" applyFill="1" applyBorder="1" applyAlignment="1" applyProtection="1">
      <alignment horizontal="center" vertical="center"/>
      <protection locked="0"/>
    </xf>
    <xf numFmtId="0" fontId="7" fillId="69" borderId="85" xfId="21412" applyFont="1" applyFill="1" applyBorder="1" applyAlignment="1" applyProtection="1">
      <alignment horizontal="left" vertical="center" wrapText="1"/>
      <protection locked="0"/>
    </xf>
    <xf numFmtId="165" fontId="15" fillId="35" borderId="12" xfId="7" applyNumberFormat="1" applyFont="1" applyFill="1" applyBorder="1" applyAlignment="1">
      <alignment horizontal="center" vertical="center"/>
    </xf>
    <xf numFmtId="165" fontId="15" fillId="35" borderId="14" xfId="7" applyNumberFormat="1" applyFont="1" applyFill="1" applyBorder="1" applyAlignment="1">
      <alignment horizontal="center" vertical="center" wrapText="1"/>
    </xf>
    <xf numFmtId="165" fontId="14" fillId="35" borderId="18" xfId="7" applyNumberFormat="1" applyFont="1" applyFill="1" applyBorder="1" applyAlignment="1">
      <alignment horizontal="center" vertical="center" wrapText="1"/>
    </xf>
    <xf numFmtId="0" fontId="14" fillId="35" borderId="21" xfId="0" applyFont="1" applyFill="1" applyBorder="1" applyAlignment="1">
      <alignment vertical="center" wrapText="1"/>
    </xf>
    <xf numFmtId="165" fontId="15" fillId="0" borderId="14" xfId="7" applyNumberFormat="1" applyFont="1" applyBorder="1" applyAlignment="1">
      <alignment vertical="center"/>
    </xf>
    <xf numFmtId="165" fontId="15" fillId="0" borderId="14" xfId="7" applyNumberFormat="1" applyFont="1" applyBorder="1" applyAlignment="1">
      <alignment vertical="center" wrapText="1"/>
    </xf>
    <xf numFmtId="0" fontId="3" fillId="0" borderId="0" xfId="0" applyFont="1" applyAlignment="1">
      <alignment vertical="center" wrapText="1"/>
    </xf>
    <xf numFmtId="0" fontId="14" fillId="35" borderId="7" xfId="0" applyFont="1" applyFill="1" applyBorder="1" applyAlignment="1">
      <alignment vertical="center" wrapText="1"/>
    </xf>
    <xf numFmtId="0" fontId="14" fillId="35" borderId="55" xfId="0" applyFont="1" applyFill="1" applyBorder="1" applyAlignment="1">
      <alignment vertical="center" wrapText="1"/>
    </xf>
    <xf numFmtId="0" fontId="8" fillId="76" borderId="85" xfId="21412" applyFont="1" applyFill="1" applyBorder="1" applyProtection="1">
      <alignment vertical="center"/>
      <protection locked="0"/>
    </xf>
    <xf numFmtId="0" fontId="8" fillId="76" borderId="87" xfId="21412" applyFont="1" applyFill="1" applyBorder="1" applyProtection="1">
      <alignment vertical="center"/>
      <protection locked="0"/>
    </xf>
    <xf numFmtId="165" fontId="14" fillId="0" borderId="148" xfId="7" applyNumberFormat="1" applyFont="1" applyBorder="1" applyAlignment="1">
      <alignment horizontal="center" vertical="center"/>
    </xf>
    <xf numFmtId="165" fontId="15" fillId="0" borderId="148" xfId="7" applyNumberFormat="1" applyFont="1" applyBorder="1" applyAlignment="1">
      <alignment horizontal="center" vertical="center"/>
    </xf>
    <xf numFmtId="0" fontId="124" fillId="3" borderId="148" xfId="21414" applyFont="1" applyFill="1" applyBorder="1" applyAlignment="1">
      <alignment horizontal="left" vertical="center" wrapText="1"/>
    </xf>
    <xf numFmtId="0" fontId="95" fillId="0" borderId="148" xfId="0" applyFont="1" applyBorder="1" applyAlignment="1">
      <alignment horizontal="left" vertical="center" wrapText="1"/>
    </xf>
    <xf numFmtId="0" fontId="124" fillId="0" borderId="148" xfId="0" applyFont="1" applyBorder="1" applyAlignment="1">
      <alignment horizontal="left" vertical="center" wrapText="1"/>
    </xf>
    <xf numFmtId="0" fontId="124" fillId="3" borderId="148" xfId="0" applyFont="1" applyFill="1" applyBorder="1" applyAlignment="1">
      <alignment horizontal="left" vertical="center" wrapText="1"/>
    </xf>
    <xf numFmtId="0" fontId="124" fillId="0" borderId="148" xfId="21414" applyFont="1" applyBorder="1" applyAlignment="1">
      <alignment horizontal="left" vertical="center" wrapText="1"/>
    </xf>
    <xf numFmtId="0" fontId="124" fillId="0" borderId="137" xfId="0" applyFont="1" applyBorder="1" applyAlignment="1">
      <alignment horizontal="left" vertical="center" wrapText="1"/>
    </xf>
    <xf numFmtId="165" fontId="14" fillId="0" borderId="137" xfId="7" applyNumberFormat="1" applyFont="1" applyBorder="1" applyAlignment="1">
      <alignment horizontal="center" vertical="center"/>
    </xf>
    <xf numFmtId="0" fontId="95" fillId="3" borderId="5" xfId="21414" applyFont="1" applyFill="1" applyBorder="1" applyAlignment="1">
      <alignment horizontal="left" vertical="center" wrapText="1"/>
    </xf>
    <xf numFmtId="165" fontId="14" fillId="0" borderId="5" xfId="7" applyNumberFormat="1" applyFont="1" applyBorder="1" applyAlignment="1">
      <alignment horizontal="center" vertical="center"/>
    </xf>
    <xf numFmtId="0" fontId="7" fillId="0" borderId="96" xfId="0" applyFont="1" applyBorder="1" applyAlignment="1">
      <alignment horizontal="center" vertical="center" wrapText="1"/>
    </xf>
    <xf numFmtId="0" fontId="7" fillId="0" borderId="83"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97" xfId="0" applyFont="1" applyBorder="1" applyAlignment="1">
      <alignment horizontal="center" vertical="center" wrapText="1"/>
    </xf>
    <xf numFmtId="0" fontId="126" fillId="0" borderId="135" xfId="21414" applyFont="1" applyBorder="1" applyAlignment="1">
      <alignment horizontal="center" vertical="center" wrapText="1"/>
    </xf>
    <xf numFmtId="165" fontId="15" fillId="0" borderId="135" xfId="7" applyNumberFormat="1" applyFont="1" applyBorder="1" applyAlignment="1">
      <alignment vertical="center"/>
    </xf>
    <xf numFmtId="0" fontId="8" fillId="0" borderId="0" xfId="11" applyFont="1" applyAlignment="1">
      <alignment horizontal="center" vertical="center"/>
    </xf>
    <xf numFmtId="0" fontId="12" fillId="0" borderId="0" xfId="0" applyFont="1" applyAlignment="1" applyProtection="1">
      <alignment horizontal="right" vertical="center"/>
      <protection locked="0"/>
    </xf>
    <xf numFmtId="0" fontId="120" fillId="0" borderId="56" xfId="0" applyFont="1" applyBorder="1" applyAlignment="1">
      <alignment horizontal="center" vertical="center"/>
    </xf>
    <xf numFmtId="167" fontId="15" fillId="0" borderId="51" xfId="0" applyNumberFormat="1" applyFont="1" applyBorder="1" applyAlignment="1">
      <alignment horizontal="center" vertical="center"/>
    </xf>
    <xf numFmtId="0" fontId="120" fillId="0" borderId="140" xfId="0" applyFont="1" applyBorder="1" applyAlignment="1">
      <alignment horizontal="center" vertical="center"/>
    </xf>
    <xf numFmtId="0" fontId="96" fillId="0" borderId="148" xfId="21414" applyFont="1" applyBorder="1" applyAlignment="1">
      <alignment horizontal="left" vertical="center" wrapText="1"/>
    </xf>
    <xf numFmtId="167" fontId="15" fillId="0" borderId="149" xfId="0" applyNumberFormat="1" applyFont="1" applyBorder="1" applyAlignment="1">
      <alignment horizontal="center" vertical="center"/>
    </xf>
    <xf numFmtId="0" fontId="123" fillId="0" borderId="140" xfId="0" applyFont="1" applyBorder="1" applyAlignment="1">
      <alignment horizontal="center" vertical="center"/>
    </xf>
    <xf numFmtId="0" fontId="96" fillId="3" borderId="148" xfId="21414" applyFont="1" applyFill="1" applyBorder="1" applyAlignment="1">
      <alignment horizontal="left" vertical="center" wrapText="1"/>
    </xf>
    <xf numFmtId="167" fontId="13" fillId="0" borderId="149" xfId="0" applyNumberFormat="1" applyFont="1" applyBorder="1" applyAlignment="1">
      <alignment horizontal="center" vertical="center"/>
    </xf>
    <xf numFmtId="0" fontId="125" fillId="3" borderId="148" xfId="0" applyFont="1" applyFill="1" applyBorder="1" applyAlignment="1">
      <alignment horizontal="left" vertical="center" wrapText="1"/>
    </xf>
    <xf numFmtId="167" fontId="13" fillId="81" borderId="149" xfId="0" applyNumberFormat="1" applyFont="1" applyFill="1" applyBorder="1" applyAlignment="1">
      <alignment horizontal="center" vertical="center"/>
    </xf>
    <xf numFmtId="167" fontId="12" fillId="0" borderId="149" xfId="0" applyNumberFormat="1" applyFont="1" applyBorder="1" applyAlignment="1">
      <alignment horizontal="center" vertical="center"/>
    </xf>
    <xf numFmtId="0" fontId="125" fillId="0" borderId="148" xfId="0" applyFont="1" applyBorder="1" applyAlignment="1">
      <alignment horizontal="left" vertical="center" wrapText="1"/>
    </xf>
    <xf numFmtId="167" fontId="14" fillId="0" borderId="149" xfId="0" applyNumberFormat="1" applyFont="1" applyBorder="1" applyAlignment="1">
      <alignment horizontal="center" vertical="center"/>
    </xf>
    <xf numFmtId="0" fontId="125" fillId="0" borderId="148" xfId="21414" applyFont="1" applyBorder="1" applyAlignment="1">
      <alignment horizontal="left" vertical="center" wrapText="1"/>
    </xf>
    <xf numFmtId="0" fontId="123" fillId="0" borderId="102" xfId="0" applyFont="1" applyBorder="1" applyAlignment="1">
      <alignment horizontal="center" vertical="center"/>
    </xf>
    <xf numFmtId="167" fontId="15" fillId="0" borderId="15" xfId="0" applyNumberFormat="1" applyFont="1" applyBorder="1" applyAlignment="1">
      <alignment horizontal="center" vertical="center"/>
    </xf>
    <xf numFmtId="0" fontId="96" fillId="3" borderId="148" xfId="0" applyFont="1" applyFill="1" applyBorder="1" applyAlignment="1">
      <alignment horizontal="left" vertical="center" wrapText="1"/>
    </xf>
    <xf numFmtId="0" fontId="15" fillId="0" borderId="149" xfId="0" applyFont="1" applyBorder="1" applyAlignment="1">
      <alignment vertical="center"/>
    </xf>
    <xf numFmtId="0" fontId="96" fillId="0" borderId="148" xfId="0" applyFont="1" applyBorder="1" applyAlignment="1">
      <alignment horizontal="left" vertical="center" wrapText="1"/>
    </xf>
    <xf numFmtId="0" fontId="127" fillId="0" borderId="148" xfId="0" applyFont="1" applyBorder="1" applyAlignment="1">
      <alignment horizontal="left" vertical="center"/>
    </xf>
    <xf numFmtId="0" fontId="123" fillId="0" borderId="138" xfId="0" applyFont="1" applyBorder="1" applyAlignment="1">
      <alignment horizontal="center" vertical="center"/>
    </xf>
    <xf numFmtId="0" fontId="15" fillId="0" borderId="136" xfId="0" applyFont="1" applyBorder="1" applyAlignment="1">
      <alignment vertical="center"/>
    </xf>
    <xf numFmtId="165" fontId="3" fillId="0" borderId="0" xfId="7" applyNumberFormat="1" applyFont="1" applyAlignment="1">
      <alignment vertical="center"/>
    </xf>
    <xf numFmtId="165" fontId="15" fillId="0" borderId="0" xfId="0" applyNumberFormat="1" applyFont="1" applyAlignment="1">
      <alignment vertical="center"/>
    </xf>
    <xf numFmtId="165" fontId="14" fillId="0" borderId="124" xfId="7" applyNumberFormat="1" applyFont="1" applyBorder="1" applyAlignment="1">
      <alignment vertical="center"/>
    </xf>
    <xf numFmtId="0" fontId="14" fillId="0" borderId="124" xfId="0" applyFont="1" applyBorder="1" applyAlignment="1">
      <alignment vertical="center"/>
    </xf>
    <xf numFmtId="0" fontId="15" fillId="0" borderId="0" xfId="0" applyFont="1" applyAlignment="1">
      <alignment horizontal="left" vertical="center" wrapText="1"/>
    </xf>
    <xf numFmtId="0" fontId="7" fillId="0" borderId="140" xfId="0" applyFont="1" applyBorder="1" applyAlignment="1">
      <alignment vertical="center"/>
    </xf>
    <xf numFmtId="0" fontId="7" fillId="0" borderId="6" xfId="0" applyFont="1" applyBorder="1" applyAlignment="1">
      <alignment vertical="center"/>
    </xf>
    <xf numFmtId="0" fontId="7" fillId="0" borderId="133" xfId="0" applyFont="1" applyBorder="1" applyAlignment="1">
      <alignment vertical="center"/>
    </xf>
    <xf numFmtId="10" fontId="7" fillId="2" borderId="130" xfId="20961" applyNumberFormat="1" applyFont="1" applyFill="1" applyBorder="1" applyAlignment="1" applyProtection="1">
      <alignment vertical="center"/>
      <protection locked="0"/>
    </xf>
    <xf numFmtId="10" fontId="11" fillId="0" borderId="130" xfId="0" applyNumberFormat="1" applyFont="1" applyBorder="1" applyAlignment="1" applyProtection="1">
      <alignment vertical="center"/>
      <protection locked="0"/>
    </xf>
    <xf numFmtId="10" fontId="11" fillId="2" borderId="137" xfId="20961" applyNumberFormat="1" applyFont="1" applyFill="1" applyBorder="1" applyAlignment="1" applyProtection="1">
      <alignment vertical="center"/>
      <protection locked="0"/>
    </xf>
    <xf numFmtId="10" fontId="14" fillId="0" borderId="80" xfId="20961" applyNumberFormat="1" applyFont="1" applyBorder="1" applyAlignment="1">
      <alignment vertical="center"/>
    </xf>
    <xf numFmtId="10" fontId="14" fillId="0" borderId="97" xfId="20961" applyNumberFormat="1" applyFont="1" applyBorder="1" applyAlignment="1">
      <alignment vertical="center"/>
    </xf>
    <xf numFmtId="165" fontId="93" fillId="76" borderId="130" xfId="7" applyNumberFormat="1" applyFont="1" applyFill="1" applyBorder="1" applyAlignment="1">
      <alignment vertical="center"/>
    </xf>
    <xf numFmtId="10" fontId="7" fillId="77" borderId="86" xfId="20961" applyNumberFormat="1" applyFont="1" applyFill="1" applyBorder="1" applyAlignment="1" applyProtection="1">
      <alignment horizontal="right" vertical="center"/>
    </xf>
    <xf numFmtId="165" fontId="15" fillId="0" borderId="14" xfId="7" applyNumberFormat="1" applyFont="1" applyFill="1" applyBorder="1" applyAlignment="1">
      <alignment vertical="center" wrapText="1"/>
    </xf>
    <xf numFmtId="165" fontId="15" fillId="0" borderId="14" xfId="7" applyNumberFormat="1" applyFont="1" applyFill="1" applyBorder="1" applyAlignment="1">
      <alignment vertical="center"/>
    </xf>
    <xf numFmtId="165" fontId="15" fillId="0" borderId="124" xfId="7" applyNumberFormat="1" applyFont="1" applyFill="1" applyBorder="1" applyAlignment="1">
      <alignment vertical="center"/>
    </xf>
    <xf numFmtId="165" fontId="100" fillId="0" borderId="130" xfId="7" applyNumberFormat="1" applyFont="1" applyFill="1" applyBorder="1" applyAlignment="1">
      <alignment vertical="center"/>
    </xf>
    <xf numFmtId="0" fontId="143" fillId="0" borderId="0" xfId="0" applyFont="1" applyAlignment="1">
      <alignment horizontal="right" vertical="center"/>
    </xf>
    <xf numFmtId="165" fontId="144" fillId="0" borderId="0" xfId="0" applyNumberFormat="1" applyFont="1" applyAlignment="1">
      <alignment vertical="center"/>
    </xf>
    <xf numFmtId="0" fontId="144" fillId="0" borderId="0" xfId="0" applyFont="1" applyAlignment="1">
      <alignment vertical="center"/>
    </xf>
    <xf numFmtId="0" fontId="14" fillId="0" borderId="0" xfId="0" applyFont="1" applyAlignment="1">
      <alignment vertical="center"/>
    </xf>
    <xf numFmtId="165" fontId="103" fillId="35" borderId="130" xfId="7" applyNumberFormat="1" applyFont="1" applyFill="1" applyBorder="1" applyAlignment="1">
      <alignment vertical="center"/>
    </xf>
    <xf numFmtId="165" fontId="145" fillId="0" borderId="0" xfId="0" applyNumberFormat="1" applyFont="1" applyAlignment="1">
      <alignment vertical="center"/>
    </xf>
    <xf numFmtId="165" fontId="100" fillId="0" borderId="130" xfId="7" applyNumberFormat="1" applyFont="1" applyFill="1" applyBorder="1" applyAlignment="1"/>
    <xf numFmtId="165" fontId="100" fillId="0" borderId="130" xfId="7" applyNumberFormat="1" applyFont="1" applyFill="1" applyBorder="1" applyAlignment="1">
      <alignment horizontal="center" vertical="center"/>
    </xf>
    <xf numFmtId="165" fontId="140" fillId="0" borderId="145" xfId="7" applyNumberFormat="1" applyFont="1" applyBorder="1" applyAlignment="1">
      <alignment vertical="center"/>
    </xf>
    <xf numFmtId="0" fontId="146" fillId="0" borderId="0" xfId="0" applyFont="1" applyAlignment="1">
      <alignment vertical="center"/>
    </xf>
    <xf numFmtId="0" fontId="147" fillId="0" borderId="0" xfId="0" applyFont="1" applyAlignment="1">
      <alignment horizontal="right" vertical="center"/>
    </xf>
    <xf numFmtId="165" fontId="140" fillId="0" borderId="0" xfId="7" applyNumberFormat="1" applyFont="1" applyBorder="1" applyAlignment="1">
      <alignment vertical="center"/>
    </xf>
    <xf numFmtId="43" fontId="142" fillId="0" borderId="0" xfId="7" applyFont="1"/>
    <xf numFmtId="165" fontId="104" fillId="0" borderId="0" xfId="7" applyNumberFormat="1" applyFont="1"/>
    <xf numFmtId="0" fontId="143" fillId="0" borderId="0" xfId="0" applyFont="1" applyAlignment="1">
      <alignment horizontal="right"/>
    </xf>
    <xf numFmtId="165" fontId="144" fillId="0" borderId="0" xfId="0" applyNumberFormat="1" applyFont="1"/>
    <xf numFmtId="165" fontId="11" fillId="2" borderId="131" xfId="7" applyNumberFormat="1" applyFont="1" applyFill="1" applyBorder="1" applyAlignment="1" applyProtection="1">
      <alignment vertical="center"/>
      <protection locked="0"/>
    </xf>
    <xf numFmtId="165" fontId="101" fillId="0" borderId="0" xfId="0" applyNumberFormat="1" applyFont="1" applyAlignment="1">
      <alignment vertical="center"/>
    </xf>
    <xf numFmtId="0" fontId="14" fillId="0" borderId="0" xfId="0" applyFont="1"/>
    <xf numFmtId="0" fontId="15" fillId="0" borderId="11" xfId="0" applyFont="1" applyBorder="1" applyAlignment="1">
      <alignment horizontal="left" vertical="center" wrapText="1"/>
    </xf>
    <xf numFmtId="165" fontId="15" fillId="35" borderId="133" xfId="7" applyNumberFormat="1" applyFont="1" applyFill="1" applyBorder="1" applyAlignment="1">
      <alignment vertical="center" wrapText="1"/>
    </xf>
    <xf numFmtId="165" fontId="15" fillId="0" borderId="133" xfId="7" applyNumberFormat="1" applyFont="1" applyBorder="1" applyAlignment="1">
      <alignment vertical="center" wrapText="1"/>
    </xf>
    <xf numFmtId="165" fontId="15" fillId="35" borderId="19" xfId="7" applyNumberFormat="1" applyFont="1" applyFill="1" applyBorder="1" applyAlignment="1">
      <alignment vertical="center" wrapText="1"/>
    </xf>
    <xf numFmtId="0" fontId="15" fillId="0" borderId="11" xfId="0" applyFont="1" applyBorder="1" applyAlignment="1">
      <alignment horizontal="left" vertical="center" wrapText="1" indent="1"/>
    </xf>
    <xf numFmtId="169" fontId="15" fillId="36" borderId="0" xfId="20" applyFont="1"/>
    <xf numFmtId="169" fontId="15" fillId="0" borderId="0" xfId="20" applyFont="1" applyFill="1"/>
    <xf numFmtId="10" fontId="15" fillId="2" borderId="130" xfId="20961" applyNumberFormat="1" applyFont="1" applyFill="1" applyBorder="1" applyAlignment="1" applyProtection="1">
      <alignment vertical="center"/>
      <protection locked="0"/>
    </xf>
    <xf numFmtId="10" fontId="15" fillId="0" borderId="130" xfId="0" applyNumberFormat="1" applyFont="1" applyBorder="1" applyAlignment="1" applyProtection="1">
      <alignment vertical="center"/>
      <protection locked="0"/>
    </xf>
    <xf numFmtId="193" fontId="15" fillId="2" borderId="130" xfId="0" applyNumberFormat="1" applyFont="1" applyFill="1" applyBorder="1" applyAlignment="1" applyProtection="1">
      <alignment vertical="center"/>
      <protection locked="0"/>
    </xf>
    <xf numFmtId="10" fontId="15" fillId="2" borderId="137" xfId="20961" applyNumberFormat="1" applyFont="1" applyFill="1" applyBorder="1" applyAlignment="1" applyProtection="1">
      <alignment vertical="center"/>
      <protection locked="0"/>
    </xf>
    <xf numFmtId="165" fontId="15" fillId="0" borderId="130" xfId="7" applyNumberFormat="1" applyFont="1" applyFill="1" applyBorder="1" applyAlignment="1">
      <alignment vertical="center"/>
    </xf>
    <xf numFmtId="165" fontId="7" fillId="0" borderId="18" xfId="7" applyNumberFormat="1" applyFont="1" applyFill="1" applyBorder="1" applyAlignment="1" applyProtection="1">
      <alignment horizontal="right" vertical="center" wrapText="1"/>
    </xf>
    <xf numFmtId="0" fontId="148" fillId="0" borderId="148" xfId="0" applyFont="1" applyBorder="1" applyAlignment="1">
      <alignment horizontal="left" vertical="center"/>
    </xf>
    <xf numFmtId="10" fontId="11" fillId="2" borderId="130" xfId="0" applyNumberFormat="1" applyFont="1" applyFill="1" applyBorder="1" applyAlignment="1" applyProtection="1">
      <alignment vertical="center"/>
      <protection locked="0"/>
    </xf>
    <xf numFmtId="10" fontId="7" fillId="2" borderId="130" xfId="0" applyNumberFormat="1" applyFont="1" applyFill="1" applyBorder="1" applyAlignment="1" applyProtection="1">
      <alignment vertical="center"/>
      <protection locked="0"/>
    </xf>
    <xf numFmtId="165" fontId="15" fillId="2" borderId="131" xfId="0" applyNumberFormat="1" applyFont="1" applyFill="1" applyBorder="1" applyAlignment="1" applyProtection="1">
      <alignment vertical="center"/>
      <protection locked="0"/>
    </xf>
    <xf numFmtId="10" fontId="11" fillId="2" borderId="137" xfId="0" applyNumberFormat="1" applyFont="1" applyFill="1" applyBorder="1" applyAlignment="1" applyProtection="1">
      <alignment vertical="center"/>
      <protection locked="0"/>
    </xf>
    <xf numFmtId="165" fontId="7" fillId="0" borderId="124" xfId="7" applyNumberFormat="1" applyFont="1" applyFill="1" applyBorder="1" applyAlignment="1">
      <alignment horizontal="right" vertical="center"/>
    </xf>
    <xf numFmtId="165" fontId="3" fillId="0" borderId="0" xfId="7" applyNumberFormat="1" applyFont="1" applyAlignment="1">
      <alignment horizontal="left" vertical="center"/>
    </xf>
    <xf numFmtId="43" fontId="3" fillId="0" borderId="0" xfId="0" applyNumberFormat="1" applyFont="1" applyAlignment="1">
      <alignment horizontal="left" vertical="center"/>
    </xf>
    <xf numFmtId="165" fontId="15" fillId="0" borderId="130" xfId="7" applyNumberFormat="1" applyFont="1" applyFill="1" applyBorder="1" applyAlignment="1">
      <alignment vertical="center" wrapText="1"/>
    </xf>
    <xf numFmtId="165" fontId="15" fillId="0" borderId="3" xfId="7" applyNumberFormat="1" applyFont="1" applyFill="1" applyBorder="1"/>
    <xf numFmtId="1" fontId="15" fillId="0" borderId="0" xfId="0" applyNumberFormat="1" applyFont="1"/>
    <xf numFmtId="165" fontId="7" fillId="0" borderId="0" xfId="0" applyNumberFormat="1" applyFont="1" applyAlignment="1">
      <alignment vertical="center"/>
    </xf>
    <xf numFmtId="165" fontId="7" fillId="0" borderId="148" xfId="7" applyNumberFormat="1" applyFont="1" applyBorder="1" applyAlignment="1">
      <alignment vertical="center"/>
    </xf>
    <xf numFmtId="165" fontId="149" fillId="0" borderId="0" xfId="0" applyNumberFormat="1" applyFont="1" applyAlignment="1">
      <alignment vertical="center"/>
    </xf>
    <xf numFmtId="165" fontId="8" fillId="0" borderId="56" xfId="7" applyNumberFormat="1" applyFont="1" applyFill="1" applyBorder="1" applyAlignment="1">
      <alignment vertical="center"/>
    </xf>
    <xf numFmtId="165" fontId="7" fillId="0" borderId="130" xfId="7" applyNumberFormat="1" applyFont="1" applyFill="1" applyBorder="1" applyAlignment="1">
      <alignment vertical="center"/>
    </xf>
    <xf numFmtId="165" fontId="7" fillId="0" borderId="56" xfId="7" applyNumberFormat="1" applyFont="1" applyFill="1" applyBorder="1" applyAlignment="1">
      <alignment vertical="center"/>
    </xf>
    <xf numFmtId="165" fontId="7" fillId="0" borderId="140" xfId="7" applyNumberFormat="1" applyFont="1" applyFill="1" applyBorder="1" applyAlignment="1">
      <alignment horizontal="left" vertical="center"/>
    </xf>
    <xf numFmtId="165" fontId="7" fillId="0" borderId="148" xfId="7" applyNumberFormat="1" applyFont="1" applyFill="1" applyBorder="1" applyAlignment="1">
      <alignment vertical="center"/>
    </xf>
    <xf numFmtId="165" fontId="7" fillId="0" borderId="130" xfId="7" applyNumberFormat="1" applyFont="1" applyFill="1" applyBorder="1" applyAlignment="1">
      <alignment horizontal="right" vertical="center"/>
    </xf>
    <xf numFmtId="165" fontId="101" fillId="0" borderId="0" xfId="7" applyNumberFormat="1" applyFont="1" applyAlignment="1">
      <alignment vertical="center"/>
    </xf>
    <xf numFmtId="10" fontId="105" fillId="0" borderId="130" xfId="20961" applyNumberFormat="1" applyFont="1" applyFill="1" applyBorder="1" applyAlignment="1">
      <alignment vertical="center"/>
    </xf>
    <xf numFmtId="1" fontId="105" fillId="0" borderId="130" xfId="7" applyNumberFormat="1" applyFont="1" applyFill="1" applyBorder="1" applyAlignment="1">
      <alignment vertical="center"/>
    </xf>
    <xf numFmtId="165" fontId="105" fillId="0" borderId="130" xfId="7" applyNumberFormat="1" applyFont="1" applyFill="1" applyBorder="1" applyAlignment="1">
      <alignment vertical="center"/>
    </xf>
    <xf numFmtId="10" fontId="105" fillId="0" borderId="131" xfId="20961" applyNumberFormat="1" applyFont="1" applyFill="1" applyBorder="1" applyAlignment="1">
      <alignment vertical="center"/>
    </xf>
    <xf numFmtId="165" fontId="105" fillId="0" borderId="131" xfId="7" applyNumberFormat="1" applyFont="1" applyFill="1" applyBorder="1" applyAlignment="1">
      <alignment vertical="center"/>
    </xf>
    <xf numFmtId="10" fontId="140" fillId="0" borderId="130" xfId="20961" applyNumberFormat="1" applyFont="1" applyFill="1" applyBorder="1" applyAlignment="1">
      <alignment vertical="center"/>
    </xf>
    <xf numFmtId="1" fontId="140" fillId="0" borderId="130" xfId="7" applyNumberFormat="1" applyFont="1" applyFill="1" applyBorder="1" applyAlignment="1">
      <alignment vertical="center"/>
    </xf>
    <xf numFmtId="165" fontId="15" fillId="0" borderId="101" xfId="7" applyNumberFormat="1" applyFont="1" applyFill="1" applyBorder="1" applyAlignment="1">
      <alignment vertical="center"/>
    </xf>
    <xf numFmtId="165" fontId="101" fillId="0" borderId="130" xfId="7" applyNumberFormat="1" applyFont="1" applyFill="1" applyBorder="1"/>
    <xf numFmtId="165" fontId="100" fillId="0" borderId="130" xfId="7" applyNumberFormat="1" applyFont="1" applyFill="1" applyBorder="1"/>
    <xf numFmtId="0" fontId="100" fillId="0" borderId="123" xfId="0" applyFont="1" applyBorder="1" applyAlignment="1">
      <alignment vertical="center" wrapText="1" readingOrder="1"/>
    </xf>
    <xf numFmtId="0" fontId="103" fillId="0" borderId="130" xfId="0" applyFont="1" applyBorder="1" applyAlignment="1">
      <alignment vertical="center" wrapText="1" readingOrder="1"/>
    </xf>
    <xf numFmtId="165" fontId="140" fillId="0" borderId="130" xfId="7" applyNumberFormat="1" applyFont="1" applyFill="1" applyBorder="1" applyAlignment="1">
      <alignment vertical="center"/>
    </xf>
    <xf numFmtId="195" fontId="15" fillId="2" borderId="130" xfId="0" applyNumberFormat="1" applyFont="1" applyFill="1" applyBorder="1" applyAlignment="1" applyProtection="1">
      <alignment vertical="center"/>
      <protection locked="0"/>
    </xf>
    <xf numFmtId="165" fontId="15" fillId="2" borderId="130" xfId="0" applyNumberFormat="1" applyFont="1" applyFill="1" applyBorder="1" applyAlignment="1" applyProtection="1">
      <alignment vertical="center"/>
      <protection locked="0"/>
    </xf>
    <xf numFmtId="165" fontId="120" fillId="3" borderId="148" xfId="7" applyNumberFormat="1" applyFont="1" applyFill="1" applyBorder="1" applyAlignment="1" applyProtection="1">
      <alignment vertical="center"/>
      <protection locked="0"/>
    </xf>
    <xf numFmtId="165" fontId="112" fillId="0" borderId="148" xfId="7" applyNumberFormat="1" applyFont="1" applyBorder="1"/>
    <xf numFmtId="0" fontId="94" fillId="0" borderId="143" xfId="0" applyFont="1" applyBorder="1" applyAlignment="1">
      <alignment horizontal="center" vertical="center"/>
    </xf>
    <xf numFmtId="0" fontId="94" fillId="0" borderId="23" xfId="0" applyFont="1" applyBorder="1" applyAlignment="1">
      <alignment horizontal="center" vertical="center"/>
    </xf>
    <xf numFmtId="0" fontId="94" fillId="0" borderId="144" xfId="0" applyFont="1" applyBorder="1" applyAlignment="1">
      <alignment horizontal="center" vertical="center"/>
    </xf>
    <xf numFmtId="0" fontId="121" fillId="0" borderId="53" xfId="0" applyFont="1" applyBorder="1" applyAlignment="1">
      <alignment horizontal="left" vertical="center" wrapText="1"/>
    </xf>
    <xf numFmtId="0" fontId="121" fillId="0" borderId="52" xfId="0" applyFont="1" applyBorder="1" applyAlignment="1">
      <alignment horizontal="left" vertical="center" wrapText="1"/>
    </xf>
    <xf numFmtId="165" fontId="15" fillId="0" borderId="87" xfId="7" applyNumberFormat="1" applyFont="1" applyBorder="1" applyAlignment="1">
      <alignment horizontal="center" vertical="center"/>
    </xf>
    <xf numFmtId="165" fontId="15" fillId="0" borderId="84" xfId="7" applyNumberFormat="1" applyFont="1" applyBorder="1" applyAlignment="1">
      <alignment horizontal="center" vertical="center"/>
    </xf>
    <xf numFmtId="165" fontId="15" fillId="0" borderId="85" xfId="7" applyNumberFormat="1" applyFont="1" applyBorder="1" applyAlignment="1">
      <alignment horizontal="center" vertical="center"/>
    </xf>
    <xf numFmtId="165" fontId="15" fillId="0" borderId="125" xfId="7" applyNumberFormat="1" applyFont="1" applyBorder="1" applyAlignment="1">
      <alignment horizontal="center" vertical="center"/>
    </xf>
    <xf numFmtId="165" fontId="15" fillId="0" borderId="126" xfId="7" applyNumberFormat="1" applyFont="1" applyBorder="1" applyAlignment="1">
      <alignment horizontal="center" vertical="center"/>
    </xf>
    <xf numFmtId="165" fontId="15" fillId="0" borderId="127" xfId="7" applyNumberFormat="1" applyFont="1" applyBorder="1" applyAlignment="1">
      <alignment horizontal="center" vertical="center"/>
    </xf>
    <xf numFmtId="0" fontId="7" fillId="0" borderId="130" xfId="0" applyFont="1" applyBorder="1" applyAlignment="1">
      <alignment horizontal="center" vertical="center"/>
    </xf>
    <xf numFmtId="0" fontId="8" fillId="0" borderId="130" xfId="0" applyFont="1" applyBorder="1" applyAlignment="1">
      <alignment horizontal="center" vertical="center"/>
    </xf>
    <xf numFmtId="0" fontId="15" fillId="0" borderId="130" xfId="0" applyFont="1" applyBorder="1" applyAlignment="1">
      <alignment horizontal="center" vertical="center"/>
    </xf>
    <xf numFmtId="0" fontId="14" fillId="0" borderId="130" xfId="0" applyFont="1" applyBorder="1" applyAlignment="1">
      <alignment horizontal="center" vertical="center" wrapText="1"/>
    </xf>
    <xf numFmtId="0" fontId="120" fillId="0" borderId="124" xfId="0" applyFont="1" applyBorder="1" applyAlignment="1">
      <alignment horizontal="center" vertical="center"/>
    </xf>
    <xf numFmtId="0" fontId="120" fillId="0" borderId="124"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3" xfId="0" applyFont="1" applyBorder="1" applyAlignment="1">
      <alignment vertical="center" wrapText="1"/>
    </xf>
    <xf numFmtId="0" fontId="15" fillId="0" borderId="14" xfId="0" applyFont="1" applyBorder="1" applyAlignment="1">
      <alignment vertical="center"/>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15" fillId="0" borderId="148" xfId="0" applyFont="1" applyBorder="1" applyAlignment="1">
      <alignment horizontal="center" vertical="center" wrapText="1"/>
    </xf>
    <xf numFmtId="0" fontId="15" fillId="0" borderId="133" xfId="0" applyFont="1" applyBorder="1" applyAlignment="1">
      <alignment horizontal="center" vertical="center"/>
    </xf>
    <xf numFmtId="0" fontId="15" fillId="0" borderId="15" xfId="0" applyFont="1" applyBorder="1" applyAlignment="1">
      <alignment horizontal="center" vertical="center"/>
    </xf>
    <xf numFmtId="0" fontId="14" fillId="35" borderId="105" xfId="0" applyFont="1" applyFill="1" applyBorder="1" applyAlignment="1">
      <alignment horizontal="center" vertical="center" wrapText="1"/>
    </xf>
    <xf numFmtId="0" fontId="14" fillId="35" borderId="22" xfId="0" applyFont="1" applyFill="1" applyBorder="1" applyAlignment="1">
      <alignment horizontal="center" vertical="center" wrapText="1"/>
    </xf>
    <xf numFmtId="0" fontId="14" fillId="35" borderId="102" xfId="0" applyFont="1" applyFill="1" applyBorder="1" applyAlignment="1">
      <alignment horizontal="center" vertical="center" wrapText="1"/>
    </xf>
    <xf numFmtId="0" fontId="14" fillId="35" borderId="85" xfId="0" applyFont="1" applyFill="1" applyBorder="1" applyAlignment="1">
      <alignment horizontal="center" vertical="center" wrapText="1"/>
    </xf>
    <xf numFmtId="0" fontId="7" fillId="3" borderId="54" xfId="13" applyFont="1" applyFill="1" applyBorder="1" applyAlignment="1" applyProtection="1">
      <alignment horizontal="center" vertical="center" wrapText="1"/>
      <protection locked="0"/>
    </xf>
    <xf numFmtId="0" fontId="7" fillId="3" borderId="51" xfId="13" applyFont="1" applyFill="1" applyBorder="1" applyAlignment="1" applyProtection="1">
      <alignment horizontal="center" vertical="center" wrapText="1"/>
      <protection locked="0"/>
    </xf>
    <xf numFmtId="9" fontId="15" fillId="0" borderId="6" xfId="0" applyNumberFormat="1" applyFont="1" applyBorder="1" applyAlignment="1">
      <alignment horizontal="center" vertical="center"/>
    </xf>
    <xf numFmtId="9" fontId="15" fillId="0" borderId="8"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165" fontId="8" fillId="3" borderId="10" xfId="1" applyNumberFormat="1" applyFont="1" applyFill="1" applyBorder="1" applyAlignment="1" applyProtection="1">
      <alignment horizontal="center"/>
      <protection locked="0"/>
    </xf>
    <xf numFmtId="165" fontId="8" fillId="3" borderId="11" xfId="1" applyNumberFormat="1" applyFont="1" applyFill="1" applyBorder="1" applyAlignment="1" applyProtection="1">
      <alignment horizontal="center"/>
      <protection locked="0"/>
    </xf>
    <xf numFmtId="165" fontId="8" fillId="3" borderId="12" xfId="1" applyNumberFormat="1" applyFont="1" applyFill="1" applyBorder="1" applyAlignment="1" applyProtection="1">
      <alignment horizont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165" fontId="8" fillId="0" borderId="77" xfId="1" applyNumberFormat="1" applyFont="1" applyFill="1" applyBorder="1" applyAlignment="1" applyProtection="1">
      <alignment horizontal="center" vertical="center" wrapText="1"/>
      <protection locked="0"/>
    </xf>
    <xf numFmtId="165" fontId="8" fillId="0" borderId="78" xfId="1" applyNumberFormat="1" applyFont="1" applyFill="1" applyBorder="1" applyAlignment="1" applyProtection="1">
      <alignment horizontal="center" vertical="center" wrapText="1"/>
      <protection locked="0"/>
    </xf>
    <xf numFmtId="0" fontId="15" fillId="0" borderId="54"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 xfId="0" applyFont="1" applyBorder="1" applyAlignment="1">
      <alignment horizontal="center" wrapText="1"/>
    </xf>
    <xf numFmtId="0" fontId="15" fillId="0" borderId="8" xfId="0" applyFont="1" applyBorder="1" applyAlignment="1">
      <alignment horizontal="center" wrapText="1"/>
    </xf>
    <xf numFmtId="0" fontId="15" fillId="0" borderId="4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93" xfId="0" applyFont="1" applyBorder="1" applyAlignment="1">
      <alignment horizontal="center" vertical="center" wrapText="1"/>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0" fontId="15" fillId="0" borderId="101" xfId="0" applyFont="1" applyBorder="1" applyAlignment="1">
      <alignment horizontal="center" vertical="center" wrapText="1"/>
    </xf>
    <xf numFmtId="0" fontId="8" fillId="0" borderId="108" xfId="0" applyFont="1" applyBorder="1" applyAlignment="1">
      <alignment horizontal="left" vertical="center" wrapText="1"/>
    </xf>
    <xf numFmtId="0" fontId="8" fillId="0" borderId="109" xfId="0" applyFont="1" applyBorder="1" applyAlignment="1">
      <alignment horizontal="left" vertical="center" wrapText="1"/>
    </xf>
    <xf numFmtId="0" fontId="8" fillId="0" borderId="111" xfId="0" applyFont="1" applyBorder="1" applyAlignment="1">
      <alignment horizontal="left" vertical="center" wrapText="1"/>
    </xf>
    <xf numFmtId="0" fontId="8" fillId="0" borderId="112" xfId="0" applyFont="1" applyBorder="1" applyAlignment="1">
      <alignment horizontal="left" vertical="center" wrapText="1"/>
    </xf>
    <xf numFmtId="0" fontId="8" fillId="0" borderId="114" xfId="0" applyFont="1" applyBorder="1" applyAlignment="1">
      <alignment horizontal="left" vertical="center" wrapText="1"/>
    </xf>
    <xf numFmtId="0" fontId="8" fillId="0" borderId="115" xfId="0" applyFont="1" applyBorder="1" applyAlignment="1">
      <alignment horizontal="left" vertical="center" wrapText="1"/>
    </xf>
    <xf numFmtId="0" fontId="14" fillId="0" borderId="129"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13" xfId="0" applyFont="1" applyBorder="1" applyAlignment="1">
      <alignment horizontal="center" vertical="center" wrapText="1"/>
    </xf>
    <xf numFmtId="0" fontId="14" fillId="0" borderId="9" xfId="0" applyFont="1" applyBorder="1" applyAlignment="1">
      <alignment horizontal="center" vertical="center" wrapText="1"/>
    </xf>
    <xf numFmtId="0" fontId="100" fillId="0" borderId="131" xfId="0" applyFont="1" applyBorder="1" applyAlignment="1">
      <alignment horizontal="center" vertical="center" wrapText="1"/>
    </xf>
    <xf numFmtId="0" fontId="100" fillId="0" borderId="5" xfId="0" applyFont="1" applyBorder="1" applyAlignment="1">
      <alignment horizontal="center" vertical="center" wrapText="1"/>
    </xf>
    <xf numFmtId="0" fontId="103" fillId="0" borderId="108" xfId="0" applyFont="1" applyBorder="1" applyAlignment="1">
      <alignment horizontal="left" vertical="center" wrapText="1"/>
    </xf>
    <xf numFmtId="0" fontId="103" fillId="0" borderId="109" xfId="0" applyFont="1" applyBorder="1" applyAlignment="1">
      <alignment horizontal="left" vertical="center" wrapText="1"/>
    </xf>
    <xf numFmtId="0" fontId="103" fillId="0" borderId="114" xfId="0" applyFont="1" applyBorder="1" applyAlignment="1">
      <alignment horizontal="left" vertical="center" wrapText="1"/>
    </xf>
    <xf numFmtId="0" fontId="103" fillId="0" borderId="115" xfId="0" applyFont="1" applyBorder="1" applyAlignment="1">
      <alignment horizontal="left" vertical="center" wrapText="1"/>
    </xf>
    <xf numFmtId="0" fontId="100" fillId="0" borderId="130" xfId="0" applyFont="1" applyBorder="1" applyAlignment="1">
      <alignment horizontal="center" vertical="center" wrapText="1"/>
    </xf>
    <xf numFmtId="0" fontId="100" fillId="0" borderId="133" xfId="0" applyFont="1" applyBorder="1" applyAlignment="1">
      <alignment horizontal="center" vertical="center" wrapText="1"/>
    </xf>
    <xf numFmtId="0" fontId="100" fillId="0" borderId="132" xfId="0" applyFont="1" applyBorder="1" applyAlignment="1">
      <alignment horizontal="center" vertical="center" wrapText="1"/>
    </xf>
    <xf numFmtId="0" fontId="107" fillId="0" borderId="130" xfId="0" applyFont="1" applyBorder="1" applyAlignment="1">
      <alignment horizontal="center" vertical="center"/>
    </xf>
    <xf numFmtId="0" fontId="102" fillId="0" borderId="129" xfId="0" applyFont="1" applyBorder="1" applyAlignment="1">
      <alignment horizontal="center" vertical="center"/>
    </xf>
    <xf numFmtId="0" fontId="102" fillId="0" borderId="134" xfId="0" applyFont="1" applyBorder="1" applyAlignment="1">
      <alignment horizontal="center" vertical="center"/>
    </xf>
    <xf numFmtId="0" fontId="102" fillId="0" borderId="46" xfId="0" applyFont="1" applyBorder="1" applyAlignment="1">
      <alignment horizontal="center" vertical="center"/>
    </xf>
    <xf numFmtId="0" fontId="102" fillId="0" borderId="9" xfId="0" applyFont="1" applyBorder="1" applyAlignment="1">
      <alignment horizontal="center" vertical="center"/>
    </xf>
    <xf numFmtId="0" fontId="103" fillId="0" borderId="130" xfId="0" applyFont="1" applyBorder="1" applyAlignment="1">
      <alignment horizontal="center" vertical="center" wrapText="1"/>
    </xf>
    <xf numFmtId="0" fontId="103" fillId="0" borderId="129" xfId="0" applyFont="1" applyBorder="1" applyAlignment="1">
      <alignment horizontal="center" vertical="center" wrapText="1"/>
    </xf>
    <xf numFmtId="0" fontId="103" fillId="0" borderId="134" xfId="0" applyFont="1" applyBorder="1" applyAlignment="1">
      <alignment horizontal="center" vertical="center" wrapText="1"/>
    </xf>
    <xf numFmtId="0" fontId="103" fillId="0" borderId="116" xfId="0" applyFont="1" applyBorder="1" applyAlignment="1">
      <alignment horizontal="center" vertical="center" wrapText="1"/>
    </xf>
    <xf numFmtId="0" fontId="103" fillId="0" borderId="117" xfId="0" applyFont="1" applyBorder="1" applyAlignment="1">
      <alignment horizontal="center" vertical="center" wrapText="1"/>
    </xf>
    <xf numFmtId="0" fontId="103" fillId="0" borderId="46" xfId="0" applyFont="1" applyBorder="1" applyAlignment="1">
      <alignment horizontal="center" vertical="center" wrapText="1"/>
    </xf>
    <xf numFmtId="0" fontId="103" fillId="0" borderId="9" xfId="0" applyFont="1" applyBorder="1" applyAlignment="1">
      <alignment horizontal="center" vertical="center" wrapText="1"/>
    </xf>
    <xf numFmtId="0" fontId="100" fillId="0" borderId="135" xfId="0" applyFont="1" applyBorder="1" applyAlignment="1">
      <alignment horizontal="center" vertical="center" wrapText="1"/>
    </xf>
    <xf numFmtId="0" fontId="103" fillId="0" borderId="118" xfId="0" applyFont="1" applyBorder="1" applyAlignment="1">
      <alignment horizontal="center" vertical="center" wrapText="1"/>
    </xf>
    <xf numFmtId="0" fontId="103" fillId="0" borderId="5" xfId="0" applyFont="1" applyBorder="1" applyAlignment="1">
      <alignment horizontal="center" vertical="center" wrapText="1"/>
    </xf>
    <xf numFmtId="0" fontId="100" fillId="0" borderId="118" xfId="0" applyFont="1" applyBorder="1" applyAlignment="1">
      <alignment horizontal="center" vertical="center" wrapText="1"/>
    </xf>
    <xf numFmtId="0" fontId="100" fillId="0" borderId="129" xfId="0" applyFont="1" applyBorder="1" applyAlignment="1">
      <alignment horizontal="center" vertical="center" wrapText="1"/>
    </xf>
    <xf numFmtId="0" fontId="100" fillId="0" borderId="128" xfId="0" applyFont="1" applyBorder="1" applyAlignment="1">
      <alignment horizontal="center" vertical="center" wrapText="1"/>
    </xf>
    <xf numFmtId="0" fontId="100" fillId="0" borderId="134" xfId="0" applyFont="1" applyBorder="1" applyAlignment="1">
      <alignment horizontal="center" vertical="center" wrapText="1"/>
    </xf>
    <xf numFmtId="0" fontId="100" fillId="0" borderId="9"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49"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93" xfId="0" applyFont="1" applyBorder="1" applyAlignment="1">
      <alignment horizontal="center" vertical="center" wrapText="1"/>
    </xf>
    <xf numFmtId="0" fontId="8" fillId="0" borderId="47" xfId="0" applyFont="1" applyBorder="1" applyAlignment="1">
      <alignment horizontal="left" vertical="center" wrapText="1"/>
    </xf>
    <xf numFmtId="0" fontId="8" fillId="0" borderId="93" xfId="0" applyFont="1" applyBorder="1" applyAlignment="1">
      <alignment horizontal="left" vertical="center" wrapText="1"/>
    </xf>
    <xf numFmtId="0" fontId="8" fillId="0" borderId="50" xfId="0" applyFont="1" applyBorder="1" applyAlignment="1">
      <alignment horizontal="left" vertical="center" wrapText="1"/>
    </xf>
    <xf numFmtId="0" fontId="8" fillId="0" borderId="79" xfId="0" applyFont="1" applyBorder="1" applyAlignment="1">
      <alignment horizontal="left" vertical="center" wrapText="1"/>
    </xf>
    <xf numFmtId="0" fontId="8" fillId="0" borderId="107" xfId="0" applyFont="1" applyBorder="1" applyAlignment="1">
      <alignment horizontal="left" vertical="center" wrapText="1"/>
    </xf>
    <xf numFmtId="0" fontId="8" fillId="0" borderId="141" xfId="0" applyFont="1" applyBorder="1" applyAlignment="1">
      <alignment horizontal="left" vertical="center" wrapText="1"/>
    </xf>
    <xf numFmtId="0" fontId="7" fillId="0" borderId="13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56"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45" xfId="0" applyFont="1" applyBorder="1" applyAlignment="1">
      <alignment horizontal="center" vertical="center" wrapText="1"/>
    </xf>
    <xf numFmtId="0" fontId="7" fillId="0" borderId="148" xfId="0" applyFont="1" applyBorder="1" applyAlignment="1">
      <alignment horizontal="center" vertical="center" wrapText="1"/>
    </xf>
    <xf numFmtId="0" fontId="100" fillId="0" borderId="129" xfId="0" applyFont="1" applyBorder="1" applyAlignment="1">
      <alignment horizontal="center" vertical="top" wrapText="1"/>
    </xf>
    <xf numFmtId="0" fontId="100" fillId="0" borderId="128" xfId="0" applyFont="1" applyBorder="1" applyAlignment="1">
      <alignment horizontal="center" vertical="top" wrapText="1"/>
    </xf>
    <xf numFmtId="0" fontId="100" fillId="0" borderId="135" xfId="0" applyFont="1" applyBorder="1" applyAlignment="1">
      <alignment horizontal="center" vertical="top" wrapText="1"/>
    </xf>
    <xf numFmtId="0" fontId="100" fillId="0" borderId="132" xfId="0" applyFont="1" applyBorder="1" applyAlignment="1">
      <alignment horizontal="center" vertical="top" wrapText="1"/>
    </xf>
    <xf numFmtId="0" fontId="95" fillId="0" borderId="119" xfId="0" applyFont="1" applyBorder="1" applyAlignment="1">
      <alignment horizontal="left" vertical="center" wrapText="1"/>
    </xf>
    <xf numFmtId="0" fontId="95" fillId="0" borderId="120" xfId="0" applyFont="1" applyBorder="1" applyAlignment="1">
      <alignment horizontal="left" vertical="center" wrapText="1"/>
    </xf>
    <xf numFmtId="0" fontId="106" fillId="0" borderId="130" xfId="0" applyFont="1" applyBorder="1" applyAlignment="1">
      <alignment horizontal="center" vertical="center"/>
    </xf>
    <xf numFmtId="0" fontId="105" fillId="0" borderId="130" xfId="0" applyFont="1" applyBorder="1" applyAlignment="1">
      <alignment horizontal="center" vertical="center" wrapText="1"/>
    </xf>
    <xf numFmtId="0" fontId="105" fillId="0" borderId="131" xfId="0" applyFont="1" applyBorder="1" applyAlignment="1">
      <alignment horizontal="center" vertical="center" wrapText="1"/>
    </xf>
    <xf numFmtId="0" fontId="95" fillId="0" borderId="133" xfId="0" applyFont="1" applyBorder="1" applyAlignment="1">
      <alignment horizontal="center" vertical="center" wrapText="1"/>
    </xf>
    <xf numFmtId="0" fontId="95" fillId="0" borderId="132" xfId="0" applyFont="1" applyBorder="1" applyAlignment="1">
      <alignment horizontal="center" vertical="center" wrapText="1"/>
    </xf>
    <xf numFmtId="0" fontId="96" fillId="0" borderId="133" xfId="0" applyFont="1" applyBorder="1" applyAlignment="1">
      <alignment horizontal="left" vertical="center" wrapText="1"/>
    </xf>
    <xf numFmtId="0" fontId="96" fillId="0" borderId="132" xfId="0" applyFont="1" applyBorder="1" applyAlignment="1">
      <alignment horizontal="left" vertical="center" wrapText="1"/>
    </xf>
    <xf numFmtId="0" fontId="96" fillId="0" borderId="133" xfId="13" applyFont="1" applyBorder="1" applyAlignment="1" applyProtection="1">
      <alignment horizontal="left" vertical="top" wrapText="1"/>
      <protection locked="0"/>
    </xf>
    <xf numFmtId="0" fontId="96" fillId="0" borderId="132" xfId="13" applyFont="1" applyBorder="1" applyAlignment="1" applyProtection="1">
      <alignment horizontal="left" vertical="top" wrapText="1"/>
      <protection locked="0"/>
    </xf>
    <xf numFmtId="0" fontId="95" fillId="75" borderId="133" xfId="0" applyFont="1" applyFill="1" applyBorder="1" applyAlignment="1">
      <alignment horizontal="center" vertical="center" wrapText="1"/>
    </xf>
    <xf numFmtId="0" fontId="95" fillId="75" borderId="132" xfId="0" applyFont="1" applyFill="1" applyBorder="1" applyAlignment="1">
      <alignment horizontal="center" vertical="center" wrapText="1"/>
    </xf>
    <xf numFmtId="0" fontId="96" fillId="0" borderId="67" xfId="0" applyFont="1" applyBorder="1" applyAlignment="1">
      <alignment horizontal="left" vertical="center" wrapText="1"/>
    </xf>
    <xf numFmtId="0" fontId="96" fillId="0" borderId="68" xfId="0" applyFont="1" applyBorder="1" applyAlignment="1">
      <alignment horizontal="left" vertical="center" wrapText="1"/>
    </xf>
    <xf numFmtId="0" fontId="96" fillId="0" borderId="133" xfId="0" applyFont="1" applyBorder="1" applyAlignment="1">
      <alignment horizontal="left" vertical="top" wrapText="1"/>
    </xf>
    <xf numFmtId="0" fontId="96" fillId="0" borderId="132" xfId="0" applyFont="1" applyBorder="1" applyAlignment="1">
      <alignment horizontal="left" vertical="top" wrapText="1"/>
    </xf>
    <xf numFmtId="49" fontId="96" fillId="0" borderId="0" xfId="0" applyNumberFormat="1" applyFont="1" applyAlignment="1">
      <alignment horizontal="center" vertical="center"/>
    </xf>
    <xf numFmtId="0" fontId="96" fillId="0" borderId="130" xfId="0" applyFont="1" applyBorder="1" applyAlignment="1">
      <alignment horizontal="left" vertical="top" wrapText="1"/>
    </xf>
    <xf numFmtId="0" fontId="96" fillId="0" borderId="130" xfId="0" applyFont="1" applyBorder="1" applyAlignment="1">
      <alignment horizontal="left" vertical="center" wrapText="1"/>
    </xf>
    <xf numFmtId="0" fontId="95" fillId="75" borderId="130" xfId="0" applyFont="1" applyFill="1" applyBorder="1" applyAlignment="1">
      <alignment horizontal="center" vertical="center" wrapText="1"/>
    </xf>
    <xf numFmtId="0" fontId="96" fillId="0" borderId="130" xfId="0" applyFont="1" applyBorder="1" applyAlignment="1">
      <alignment horizontal="center"/>
    </xf>
    <xf numFmtId="0" fontId="96" fillId="0" borderId="87" xfId="0" applyFont="1" applyBorder="1" applyAlignment="1">
      <alignment horizontal="left" vertical="center" wrapText="1"/>
    </xf>
    <xf numFmtId="0" fontId="96" fillId="0" borderId="85" xfId="0" applyFont="1" applyBorder="1" applyAlignment="1">
      <alignment horizontal="left" vertical="center" wrapText="1"/>
    </xf>
    <xf numFmtId="0" fontId="95" fillId="0" borderId="130" xfId="0" applyFont="1" applyBorder="1" applyAlignment="1">
      <alignment horizontal="center" vertical="center"/>
    </xf>
    <xf numFmtId="0" fontId="96" fillId="3" borderId="133" xfId="13" applyFont="1" applyFill="1" applyBorder="1" applyAlignment="1" applyProtection="1">
      <alignment horizontal="left" vertical="top" wrapText="1"/>
      <protection locked="0"/>
    </xf>
    <xf numFmtId="0" fontId="96" fillId="3" borderId="132" xfId="13" applyFont="1" applyFill="1" applyBorder="1" applyAlignment="1" applyProtection="1">
      <alignment horizontal="left" vertical="top" wrapText="1"/>
      <protection locked="0"/>
    </xf>
    <xf numFmtId="0" fontId="95" fillId="0" borderId="72" xfId="0" applyFont="1" applyBorder="1" applyAlignment="1">
      <alignment horizontal="center" vertical="center"/>
    </xf>
    <xf numFmtId="0" fontId="95" fillId="75" borderId="69" xfId="0" applyFont="1" applyFill="1" applyBorder="1" applyAlignment="1">
      <alignment horizontal="center" vertical="center" wrapText="1"/>
    </xf>
    <xf numFmtId="0" fontId="95" fillId="75" borderId="0" xfId="0" applyFont="1" applyFill="1" applyAlignment="1">
      <alignment horizontal="center" vertical="center" wrapText="1"/>
    </xf>
    <xf numFmtId="0" fontId="95" fillId="75" borderId="70" xfId="0" applyFont="1" applyFill="1" applyBorder="1" applyAlignment="1">
      <alignment horizontal="center" vertical="center" wrapText="1"/>
    </xf>
    <xf numFmtId="0" fontId="96" fillId="0" borderId="87" xfId="0" applyFont="1" applyBorder="1" applyAlignment="1">
      <alignment vertical="center" wrapText="1"/>
    </xf>
    <xf numFmtId="0" fontId="96" fillId="0" borderId="85" xfId="0" applyFont="1" applyBorder="1" applyAlignment="1">
      <alignment vertical="center" wrapText="1"/>
    </xf>
    <xf numFmtId="0" fontId="95" fillId="75" borderId="74" xfId="0" applyFont="1" applyFill="1" applyBorder="1" applyAlignment="1">
      <alignment horizontal="center" vertical="center"/>
    </xf>
    <xf numFmtId="0" fontId="95" fillId="75" borderId="75" xfId="0" applyFont="1" applyFill="1" applyBorder="1" applyAlignment="1">
      <alignment horizontal="center" vertical="center"/>
    </xf>
    <xf numFmtId="0" fontId="95" fillId="75" borderId="76" xfId="0" applyFont="1" applyFill="1" applyBorder="1" applyAlignment="1">
      <alignment horizontal="center" vertical="center"/>
    </xf>
    <xf numFmtId="0" fontId="96" fillId="3" borderId="87" xfId="0" applyFont="1" applyFill="1" applyBorder="1" applyAlignment="1">
      <alignment horizontal="left" vertical="center" wrapText="1"/>
    </xf>
    <xf numFmtId="0" fontId="96" fillId="3" borderId="85" xfId="0" applyFont="1" applyFill="1" applyBorder="1" applyAlignment="1">
      <alignment horizontal="left" vertical="center" wrapText="1"/>
    </xf>
    <xf numFmtId="0" fontId="96" fillId="0" borderId="64" xfId="0" applyFont="1" applyBorder="1" applyAlignment="1">
      <alignment horizontal="left" vertical="center" wrapText="1"/>
    </xf>
    <xf numFmtId="0" fontId="96" fillId="0" borderId="65" xfId="0" applyFont="1" applyBorder="1" applyAlignment="1">
      <alignment horizontal="left" vertical="center" wrapText="1"/>
    </xf>
    <xf numFmtId="0" fontId="95" fillId="75" borderId="60" xfId="0" applyFont="1" applyFill="1" applyBorder="1" applyAlignment="1">
      <alignment horizontal="center" vertical="center" wrapText="1"/>
    </xf>
    <xf numFmtId="0" fontId="95" fillId="75" borderId="61" xfId="0" applyFont="1" applyFill="1" applyBorder="1" applyAlignment="1">
      <alignment horizontal="center" vertical="center" wrapText="1"/>
    </xf>
    <xf numFmtId="0" fontId="95" fillId="75" borderId="62" xfId="0" applyFont="1" applyFill="1" applyBorder="1" applyAlignment="1">
      <alignment horizontal="center" vertical="center" wrapText="1"/>
    </xf>
    <xf numFmtId="0" fontId="96" fillId="0" borderId="46" xfId="0" applyFont="1" applyBorder="1" applyAlignment="1">
      <alignment horizontal="left" vertical="center" wrapText="1"/>
    </xf>
    <xf numFmtId="0" fontId="96" fillId="0" borderId="9" xfId="0" applyFont="1" applyBorder="1" applyAlignment="1">
      <alignment horizontal="left" vertical="center" wrapText="1"/>
    </xf>
    <xf numFmtId="0" fontId="114" fillId="0" borderId="87" xfId="0" applyFont="1" applyBorder="1" applyAlignment="1">
      <alignment horizontal="left" vertical="center" wrapText="1"/>
    </xf>
    <xf numFmtId="0" fontId="114" fillId="0" borderId="85" xfId="0" applyFont="1" applyBorder="1" applyAlignment="1">
      <alignment horizontal="left" vertical="center" wrapText="1"/>
    </xf>
    <xf numFmtId="0" fontId="95" fillId="0" borderId="69" xfId="0" applyFont="1" applyBorder="1" applyAlignment="1">
      <alignment horizontal="center" vertical="center" wrapText="1"/>
    </xf>
    <xf numFmtId="0" fontId="95" fillId="0" borderId="0" xfId="0" applyFont="1" applyAlignment="1">
      <alignment horizontal="center" vertical="center" wrapText="1"/>
    </xf>
    <xf numFmtId="0" fontId="95" fillId="0" borderId="70" xfId="0" applyFont="1" applyBorder="1" applyAlignment="1">
      <alignment horizontal="center" vertical="center" wrapText="1"/>
    </xf>
    <xf numFmtId="0" fontId="95" fillId="0" borderId="60" xfId="0" applyFont="1" applyBorder="1" applyAlignment="1">
      <alignment horizontal="center" vertical="center" wrapText="1"/>
    </xf>
    <xf numFmtId="0" fontId="95" fillId="0" borderId="61" xfId="0" applyFont="1" applyBorder="1" applyAlignment="1">
      <alignment horizontal="center" vertical="center" wrapText="1"/>
    </xf>
    <xf numFmtId="0" fontId="95" fillId="0" borderId="62" xfId="0" applyFont="1" applyBorder="1" applyAlignment="1">
      <alignment horizontal="center" vertical="center" wrapText="1"/>
    </xf>
    <xf numFmtId="0" fontId="96" fillId="0" borderId="125" xfId="0" applyFont="1" applyBorder="1" applyAlignment="1">
      <alignment horizontal="left" vertical="center" wrapText="1"/>
    </xf>
    <xf numFmtId="0" fontId="96" fillId="0" borderId="126" xfId="0" applyFont="1" applyBorder="1" applyAlignment="1">
      <alignment horizontal="left" vertical="center" wrapText="1"/>
    </xf>
    <xf numFmtId="0" fontId="96" fillId="0" borderId="127" xfId="0" applyFont="1" applyBorder="1" applyAlignment="1">
      <alignment horizontal="left" vertical="center" wrapText="1"/>
    </xf>
    <xf numFmtId="0" fontId="96" fillId="3" borderId="64" xfId="0" applyFont="1" applyFill="1" applyBorder="1" applyAlignment="1">
      <alignment horizontal="left" vertical="center" wrapText="1"/>
    </xf>
    <xf numFmtId="0" fontId="96" fillId="3" borderId="65" xfId="0" applyFont="1" applyFill="1" applyBorder="1" applyAlignment="1">
      <alignment horizontal="left" vertical="center" wrapText="1"/>
    </xf>
    <xf numFmtId="0" fontId="96" fillId="0" borderId="46" xfId="0" applyFont="1" applyBorder="1" applyAlignment="1">
      <alignment vertical="center" wrapText="1"/>
    </xf>
    <xf numFmtId="0" fontId="96" fillId="0" borderId="9" xfId="0" applyFont="1" applyBorder="1" applyAlignment="1">
      <alignment vertical="center" wrapText="1"/>
    </xf>
    <xf numFmtId="0" fontId="96" fillId="3" borderId="87" xfId="0" applyFont="1" applyFill="1" applyBorder="1" applyAlignment="1">
      <alignment vertical="center" wrapText="1"/>
    </xf>
    <xf numFmtId="0" fontId="96" fillId="3" borderId="85" xfId="0" applyFont="1" applyFill="1" applyBorder="1" applyAlignment="1">
      <alignment vertical="center" wrapText="1"/>
    </xf>
    <xf numFmtId="0" fontId="95" fillId="0" borderId="57" xfId="0" applyFont="1" applyBorder="1" applyAlignment="1">
      <alignment horizontal="center" vertical="center"/>
    </xf>
    <xf numFmtId="0" fontId="95" fillId="0" borderId="58" xfId="0" applyFont="1" applyBorder="1" applyAlignment="1">
      <alignment horizontal="center" vertical="center"/>
    </xf>
    <xf numFmtId="0" fontId="95" fillId="0" borderId="59" xfId="0" applyFont="1" applyBorder="1" applyAlignment="1">
      <alignment horizontal="center" vertical="center"/>
    </xf>
    <xf numFmtId="0" fontId="96" fillId="0" borderId="86" xfId="0" applyFont="1" applyBorder="1" applyAlignment="1">
      <alignment horizontal="left" vertical="center" wrapText="1"/>
    </xf>
    <xf numFmtId="0" fontId="114" fillId="3" borderId="87" xfId="0" applyFont="1" applyFill="1" applyBorder="1" applyAlignment="1">
      <alignment vertical="center" wrapText="1"/>
    </xf>
    <xf numFmtId="0" fontId="114" fillId="3" borderId="85" xfId="0" applyFont="1" applyFill="1" applyBorder="1" applyAlignment="1">
      <alignment vertical="center" wrapText="1"/>
    </xf>
    <xf numFmtId="0" fontId="96" fillId="0" borderId="87" xfId="0" applyFont="1" applyBorder="1" applyAlignment="1">
      <alignment horizontal="left"/>
    </xf>
    <xf numFmtId="0" fontId="96" fillId="0" borderId="85"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ystal.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zoomScale="70" zoomScaleNormal="70" workbookViewId="0">
      <pane xSplit="1" ySplit="7" topLeftCell="B8" activePane="bottomRight" state="frozen"/>
      <selection activeCell="C46" sqref="C46"/>
      <selection pane="topRight" activeCell="C46" sqref="C46"/>
      <selection pane="bottomLeft" activeCell="C46" sqref="C46"/>
      <selection pane="bottomRight" activeCell="C11" sqref="C11"/>
    </sheetView>
  </sheetViews>
  <sheetFormatPr defaultRowHeight="14.4"/>
  <cols>
    <col min="1" max="1" width="10.21875" style="9" customWidth="1"/>
    <col min="2" max="2" width="153" style="338" bestFit="1" customWidth="1"/>
    <col min="3" max="3" width="39.44140625" style="324" customWidth="1"/>
    <col min="4" max="6" width="8.88671875" style="324"/>
    <col min="7" max="7" width="25" style="324" customWidth="1"/>
    <col min="8" max="16384" width="8.88671875" style="324"/>
  </cols>
  <sheetData>
    <row r="1" spans="1:3">
      <c r="A1" s="323"/>
      <c r="B1" s="15" t="s">
        <v>131</v>
      </c>
      <c r="C1" s="323"/>
    </row>
    <row r="2" spans="1:3" s="328" customFormat="1">
      <c r="A2" s="325">
        <v>1</v>
      </c>
      <c r="B2" s="326" t="s">
        <v>896</v>
      </c>
      <c r="C2" s="327" t="s">
        <v>946</v>
      </c>
    </row>
    <row r="3" spans="1:3" s="328" customFormat="1">
      <c r="A3" s="325">
        <v>2</v>
      </c>
      <c r="B3" s="329" t="s">
        <v>897</v>
      </c>
      <c r="C3" s="327" t="s">
        <v>947</v>
      </c>
    </row>
    <row r="4" spans="1:3" s="328" customFormat="1">
      <c r="A4" s="325">
        <v>3</v>
      </c>
      <c r="B4" s="329" t="s">
        <v>898</v>
      </c>
      <c r="C4" s="327" t="s">
        <v>948</v>
      </c>
    </row>
    <row r="5" spans="1:3" s="328" customFormat="1">
      <c r="A5" s="330">
        <v>4</v>
      </c>
      <c r="B5" s="331" t="s">
        <v>899</v>
      </c>
      <c r="C5" s="339" t="s">
        <v>949</v>
      </c>
    </row>
    <row r="6" spans="1:3" s="332" customFormat="1" ht="65.25" customHeight="1">
      <c r="A6" s="784" t="s">
        <v>900</v>
      </c>
      <c r="B6" s="785"/>
      <c r="C6" s="785"/>
    </row>
    <row r="7" spans="1:3">
      <c r="A7" s="333" t="s">
        <v>214</v>
      </c>
      <c r="B7" s="33" t="s">
        <v>132</v>
      </c>
    </row>
    <row r="8" spans="1:3">
      <c r="A8" s="281">
        <v>1</v>
      </c>
      <c r="B8" s="334" t="s">
        <v>111</v>
      </c>
    </row>
    <row r="9" spans="1:3">
      <c r="A9" s="281">
        <v>2</v>
      </c>
      <c r="B9" s="334" t="s">
        <v>133</v>
      </c>
    </row>
    <row r="10" spans="1:3">
      <c r="A10" s="281">
        <v>3</v>
      </c>
      <c r="B10" s="334" t="s">
        <v>134</v>
      </c>
    </row>
    <row r="11" spans="1:3">
      <c r="A11" s="281">
        <v>4</v>
      </c>
      <c r="B11" s="334" t="s">
        <v>135</v>
      </c>
    </row>
    <row r="12" spans="1:3">
      <c r="A12" s="281">
        <v>5</v>
      </c>
      <c r="B12" s="334" t="s">
        <v>87</v>
      </c>
    </row>
    <row r="13" spans="1:3">
      <c r="A13" s="281">
        <v>6</v>
      </c>
      <c r="B13" s="160" t="s">
        <v>868</v>
      </c>
    </row>
    <row r="14" spans="1:3">
      <c r="A14" s="281">
        <v>7</v>
      </c>
      <c r="B14" s="334" t="s">
        <v>136</v>
      </c>
    </row>
    <row r="15" spans="1:3">
      <c r="A15" s="281">
        <v>8</v>
      </c>
      <c r="B15" s="334" t="s">
        <v>139</v>
      </c>
    </row>
    <row r="16" spans="1:3">
      <c r="A16" s="281">
        <v>9</v>
      </c>
      <c r="B16" s="334" t="s">
        <v>67</v>
      </c>
    </row>
    <row r="17" spans="1:3">
      <c r="A17" s="161" t="s">
        <v>330</v>
      </c>
      <c r="B17" s="334" t="s">
        <v>312</v>
      </c>
    </row>
    <row r="18" spans="1:3">
      <c r="A18" s="281">
        <v>10</v>
      </c>
      <c r="B18" s="334" t="s">
        <v>140</v>
      </c>
      <c r="C18" s="335"/>
    </row>
    <row r="19" spans="1:3">
      <c r="A19" s="281">
        <v>11</v>
      </c>
      <c r="B19" s="160" t="s">
        <v>127</v>
      </c>
    </row>
    <row r="20" spans="1:3">
      <c r="A20" s="281">
        <v>12</v>
      </c>
      <c r="B20" s="160" t="s">
        <v>124</v>
      </c>
    </row>
    <row r="21" spans="1:3">
      <c r="A21" s="281">
        <v>13</v>
      </c>
      <c r="B21" s="162" t="s">
        <v>256</v>
      </c>
    </row>
    <row r="22" spans="1:3">
      <c r="A22" s="281">
        <v>14</v>
      </c>
      <c r="B22" s="334" t="s">
        <v>307</v>
      </c>
    </row>
    <row r="23" spans="1:3">
      <c r="A23" s="281">
        <v>15</v>
      </c>
      <c r="B23" s="334" t="s">
        <v>66</v>
      </c>
    </row>
    <row r="24" spans="1:3">
      <c r="A24" s="281">
        <v>15.1</v>
      </c>
      <c r="B24" s="334" t="s">
        <v>338</v>
      </c>
    </row>
    <row r="25" spans="1:3">
      <c r="A25" s="336">
        <v>15.2</v>
      </c>
      <c r="B25" s="337" t="s">
        <v>891</v>
      </c>
    </row>
    <row r="26" spans="1:3">
      <c r="A26" s="281">
        <v>16</v>
      </c>
      <c r="B26" s="334" t="s">
        <v>384</v>
      </c>
    </row>
    <row r="27" spans="1:3">
      <c r="A27" s="281">
        <v>17</v>
      </c>
      <c r="B27" s="334" t="s">
        <v>604</v>
      </c>
    </row>
    <row r="28" spans="1:3">
      <c r="A28" s="281">
        <v>18</v>
      </c>
      <c r="B28" s="334" t="s">
        <v>847</v>
      </c>
    </row>
    <row r="29" spans="1:3">
      <c r="A29" s="281">
        <v>19</v>
      </c>
      <c r="B29" s="334" t="s">
        <v>848</v>
      </c>
    </row>
    <row r="30" spans="1:3">
      <c r="A30" s="281">
        <v>20</v>
      </c>
      <c r="B30" s="334" t="s">
        <v>849</v>
      </c>
    </row>
    <row r="31" spans="1:3">
      <c r="A31" s="281">
        <v>21</v>
      </c>
      <c r="B31" s="334" t="s">
        <v>477</v>
      </c>
    </row>
    <row r="32" spans="1:3">
      <c r="A32" s="281">
        <v>22</v>
      </c>
      <c r="B32" s="334" t="s">
        <v>850</v>
      </c>
    </row>
    <row r="33" spans="1:2" ht="27.6">
      <c r="A33" s="281">
        <v>23</v>
      </c>
      <c r="B33" s="160" t="s">
        <v>846</v>
      </c>
    </row>
    <row r="34" spans="1:2">
      <c r="A34" s="281">
        <v>24</v>
      </c>
      <c r="B34" s="334" t="s">
        <v>851</v>
      </c>
    </row>
    <row r="35" spans="1:2">
      <c r="A35" s="281">
        <v>25</v>
      </c>
      <c r="B35" s="334" t="s">
        <v>852</v>
      </c>
    </row>
    <row r="36" spans="1:2">
      <c r="A36" s="281">
        <v>26</v>
      </c>
      <c r="B36" s="334" t="s">
        <v>645</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მიკრო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6" location="'16. NSFR'!A1" display="წმინდა სტაბილური დაფინანსების კოეფიციენტი" xr:uid="{00000000-0004-0000-0000-000011000000}"/>
    <hyperlink ref="B27"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8"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9"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1" location="'21. NPL'!A1" display="უმოქმედო სესხების ცვლილება" xr:uid="{00000000-0004-0000-0000-000015000000}"/>
    <hyperlink ref="B32"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3"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4"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5"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0" location="'20. Reserves'!A1" display="რეზერვის ცვლილება სესხებზე და კორპორატიულ სავალო ფასიანი ქაღალდებზე" xr:uid="{00000000-0004-0000-0000-00001A000000}"/>
    <hyperlink ref="B36" location="'26. Retail Products'!A1" display="ზოგადი ინფორმაცია საცალო პროდუქტებზე" xr:uid="{00000000-0004-0000-0000-00001B000000}"/>
    <hyperlink ref="B25" location="'15.2. CVA'!A1" display="საკრედიტო გადაფასების კორექტირება" xr:uid="{00000000-0004-0000-0000-00001C000000}"/>
    <hyperlink ref="C5" r:id="rId1" xr:uid="{F67CFD1C-96C9-4B5E-BDC4-E0479CDBC614}"/>
  </hyperlinks>
  <pageMargins left="0.7" right="0.7" top="0.75" bottom="0.75" header="0.3" footer="0.3"/>
  <pageSetup paperSize="9" orientation="portrait" r:id="rId2"/>
  <ignoredErrors>
    <ignoredError sqref="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6"/>
  <sheetViews>
    <sheetView zoomScale="70" zoomScaleNormal="70" workbookViewId="0">
      <pane xSplit="1" ySplit="5" topLeftCell="B6" activePane="bottomRight" state="frozen"/>
      <selection activeCell="C46" sqref="C46"/>
      <selection pane="topRight" activeCell="C46" sqref="C46"/>
      <selection pane="bottomLeft" activeCell="C46" sqref="C46"/>
      <selection pane="bottomRight" activeCell="A3" sqref="A3"/>
    </sheetView>
  </sheetViews>
  <sheetFormatPr defaultRowHeight="14.4"/>
  <cols>
    <col min="1" max="1" width="12.44140625" style="9" customWidth="1"/>
    <col min="2" max="2" width="132.44140625" style="9" customWidth="1"/>
    <col min="3" max="3" width="18.44140625" style="9" customWidth="1"/>
    <col min="4" max="4" width="8.88671875" style="324"/>
    <col min="5" max="5" width="10.77734375" style="324" bestFit="1" customWidth="1"/>
    <col min="6" max="16384" width="8.88671875" style="324"/>
  </cols>
  <sheetData>
    <row r="1" spans="1:6">
      <c r="A1" s="342" t="s">
        <v>869</v>
      </c>
      <c r="B1" s="344" t="str">
        <f>Info!C2</f>
        <v>კრისტალი</v>
      </c>
      <c r="D1" s="345"/>
      <c r="E1" s="345"/>
      <c r="F1" s="345"/>
    </row>
    <row r="2" spans="1:6" s="340" customFormat="1" ht="15.75" customHeight="1">
      <c r="A2" s="342" t="s">
        <v>88</v>
      </c>
      <c r="B2" s="343">
        <f>'1. key ratios'!B2</f>
        <v>46022</v>
      </c>
    </row>
    <row r="3" spans="1:6" s="340" customFormat="1" ht="15.75" customHeight="1"/>
    <row r="4" spans="1:6" ht="15" thickBot="1">
      <c r="A4" s="9" t="s">
        <v>220</v>
      </c>
      <c r="B4" s="457" t="s">
        <v>67</v>
      </c>
    </row>
    <row r="5" spans="1:6">
      <c r="A5" s="201" t="s">
        <v>25</v>
      </c>
      <c r="B5" s="202"/>
      <c r="C5" s="203" t="s">
        <v>26</v>
      </c>
    </row>
    <row r="6" spans="1:6">
      <c r="A6" s="204">
        <v>1</v>
      </c>
      <c r="B6" s="458" t="s">
        <v>27</v>
      </c>
      <c r="C6" s="467">
        <v>106672394.49408658</v>
      </c>
    </row>
    <row r="7" spans="1:6">
      <c r="A7" s="204">
        <v>2</v>
      </c>
      <c r="B7" s="205" t="s">
        <v>28</v>
      </c>
      <c r="C7" s="459">
        <v>3634576</v>
      </c>
    </row>
    <row r="8" spans="1:6">
      <c r="A8" s="204">
        <v>3</v>
      </c>
      <c r="B8" s="206" t="s">
        <v>29</v>
      </c>
      <c r="C8" s="459">
        <v>22109970.23</v>
      </c>
    </row>
    <row r="9" spans="1:6">
      <c r="A9" s="204">
        <v>4</v>
      </c>
      <c r="B9" s="206" t="s">
        <v>30</v>
      </c>
      <c r="C9" s="459">
        <v>0</v>
      </c>
    </row>
    <row r="10" spans="1:6">
      <c r="A10" s="204">
        <v>5</v>
      </c>
      <c r="B10" s="206" t="s">
        <v>31</v>
      </c>
      <c r="C10" s="459">
        <v>0</v>
      </c>
    </row>
    <row r="11" spans="1:6">
      <c r="A11" s="204">
        <v>6</v>
      </c>
      <c r="B11" s="207" t="s">
        <v>32</v>
      </c>
      <c r="C11" s="459">
        <v>80927848.264086574</v>
      </c>
    </row>
    <row r="12" spans="1:6" s="460" customFormat="1">
      <c r="A12" s="204">
        <v>7</v>
      </c>
      <c r="B12" s="458" t="s">
        <v>33</v>
      </c>
      <c r="C12" s="468">
        <v>8120996.5999999996</v>
      </c>
    </row>
    <row r="13" spans="1:6" s="460" customFormat="1">
      <c r="A13" s="204">
        <v>8</v>
      </c>
      <c r="B13" s="208" t="s">
        <v>34</v>
      </c>
      <c r="C13" s="459">
        <v>0</v>
      </c>
    </row>
    <row r="14" spans="1:6" s="460" customFormat="1" ht="27.6">
      <c r="A14" s="204">
        <v>9</v>
      </c>
      <c r="B14" s="209" t="s">
        <v>35</v>
      </c>
      <c r="C14" s="459">
        <v>0</v>
      </c>
    </row>
    <row r="15" spans="1:6" s="460" customFormat="1">
      <c r="A15" s="204">
        <v>10</v>
      </c>
      <c r="B15" s="210" t="s">
        <v>36</v>
      </c>
      <c r="C15" s="459">
        <v>7511205.5999999996</v>
      </c>
    </row>
    <row r="16" spans="1:6" s="460" customFormat="1">
      <c r="A16" s="204">
        <v>11</v>
      </c>
      <c r="B16" s="211" t="s">
        <v>37</v>
      </c>
      <c r="C16" s="459">
        <v>0</v>
      </c>
    </row>
    <row r="17" spans="1:3" s="460" customFormat="1">
      <c r="A17" s="204">
        <v>12</v>
      </c>
      <c r="B17" s="210" t="s">
        <v>38</v>
      </c>
      <c r="C17" s="459">
        <v>0</v>
      </c>
    </row>
    <row r="18" spans="1:3" s="460" customFormat="1">
      <c r="A18" s="204">
        <v>13</v>
      </c>
      <c r="B18" s="212" t="s">
        <v>908</v>
      </c>
      <c r="C18" s="459">
        <v>0</v>
      </c>
    </row>
    <row r="19" spans="1:3" s="460" customFormat="1">
      <c r="A19" s="204">
        <v>14</v>
      </c>
      <c r="B19" s="210" t="s">
        <v>39</v>
      </c>
      <c r="C19" s="459">
        <v>0</v>
      </c>
    </row>
    <row r="20" spans="1:3" s="460" customFormat="1" ht="27.6">
      <c r="A20" s="204">
        <v>15</v>
      </c>
      <c r="B20" s="210" t="s">
        <v>40</v>
      </c>
      <c r="C20" s="459">
        <v>0</v>
      </c>
    </row>
    <row r="21" spans="1:3" s="460" customFormat="1" ht="27.6">
      <c r="A21" s="204">
        <v>16</v>
      </c>
      <c r="B21" s="211" t="s">
        <v>909</v>
      </c>
      <c r="C21" s="459">
        <v>0</v>
      </c>
    </row>
    <row r="22" spans="1:3" s="460" customFormat="1">
      <c r="A22" s="204">
        <v>17</v>
      </c>
      <c r="B22" s="461" t="s">
        <v>41</v>
      </c>
      <c r="C22" s="459">
        <v>609791</v>
      </c>
    </row>
    <row r="23" spans="1:3" s="460" customFormat="1">
      <c r="A23" s="204">
        <v>18</v>
      </c>
      <c r="B23" s="462" t="s">
        <v>648</v>
      </c>
      <c r="C23" s="459">
        <v>0</v>
      </c>
    </row>
    <row r="24" spans="1:3" s="460" customFormat="1">
      <c r="A24" s="204"/>
      <c r="B24" s="211"/>
      <c r="C24" s="463"/>
    </row>
    <row r="25" spans="1:3" s="460" customFormat="1">
      <c r="A25" s="204"/>
      <c r="B25" s="211"/>
      <c r="C25" s="463"/>
    </row>
    <row r="26" spans="1:3" s="460" customFormat="1" ht="27.6">
      <c r="A26" s="204">
        <v>21</v>
      </c>
      <c r="B26" s="211" t="s">
        <v>42</v>
      </c>
      <c r="C26" s="459">
        <v>0</v>
      </c>
    </row>
    <row r="27" spans="1:3" s="460" customFormat="1">
      <c r="A27" s="204"/>
      <c r="B27" s="211"/>
      <c r="C27" s="463"/>
    </row>
    <row r="28" spans="1:3" s="460" customFormat="1" ht="27.6">
      <c r="A28" s="204">
        <v>23</v>
      </c>
      <c r="B28" s="211" t="s">
        <v>43</v>
      </c>
      <c r="C28" s="459">
        <v>0</v>
      </c>
    </row>
    <row r="29" spans="1:3" s="460" customFormat="1">
      <c r="A29" s="204">
        <v>24</v>
      </c>
      <c r="B29" s="464" t="s">
        <v>22</v>
      </c>
      <c r="C29" s="468">
        <v>98551397.894086584</v>
      </c>
    </row>
    <row r="30" spans="1:3" s="460" customFormat="1">
      <c r="A30" s="213"/>
      <c r="B30" s="214"/>
      <c r="C30" s="465"/>
    </row>
    <row r="31" spans="1:3" s="460" customFormat="1">
      <c r="A31" s="213">
        <v>25</v>
      </c>
      <c r="B31" s="464" t="s">
        <v>44</v>
      </c>
      <c r="C31" s="468">
        <v>0</v>
      </c>
    </row>
    <row r="32" spans="1:3" s="460" customFormat="1">
      <c r="A32" s="213">
        <v>26</v>
      </c>
      <c r="B32" s="206" t="s">
        <v>45</v>
      </c>
      <c r="C32" s="466">
        <v>0</v>
      </c>
    </row>
    <row r="33" spans="1:3" s="460" customFormat="1">
      <c r="A33" s="213">
        <v>27</v>
      </c>
      <c r="B33" s="209" t="s">
        <v>46</v>
      </c>
      <c r="C33" s="459">
        <v>0</v>
      </c>
    </row>
    <row r="34" spans="1:3" s="460" customFormat="1">
      <c r="A34" s="213">
        <v>28</v>
      </c>
      <c r="B34" s="209" t="s">
        <v>47</v>
      </c>
      <c r="C34" s="459">
        <v>0</v>
      </c>
    </row>
    <row r="35" spans="1:3" s="460" customFormat="1">
      <c r="A35" s="213">
        <v>29</v>
      </c>
      <c r="B35" s="206" t="s">
        <v>48</v>
      </c>
      <c r="C35" s="459">
        <v>0</v>
      </c>
    </row>
    <row r="36" spans="1:3" s="460" customFormat="1">
      <c r="A36" s="213">
        <v>30</v>
      </c>
      <c r="B36" s="464" t="s">
        <v>49</v>
      </c>
      <c r="C36" s="468">
        <v>0</v>
      </c>
    </row>
    <row r="37" spans="1:3" s="460" customFormat="1">
      <c r="A37" s="213">
        <v>31</v>
      </c>
      <c r="B37" s="209" t="s">
        <v>50</v>
      </c>
      <c r="C37" s="459">
        <v>0</v>
      </c>
    </row>
    <row r="38" spans="1:3" s="460" customFormat="1">
      <c r="A38" s="213">
        <v>32</v>
      </c>
      <c r="B38" s="210" t="s">
        <v>51</v>
      </c>
      <c r="C38" s="459">
        <v>0</v>
      </c>
    </row>
    <row r="39" spans="1:3" s="460" customFormat="1" ht="27.6">
      <c r="A39" s="213">
        <v>33</v>
      </c>
      <c r="B39" s="209" t="s">
        <v>910</v>
      </c>
      <c r="C39" s="459">
        <v>0</v>
      </c>
    </row>
    <row r="40" spans="1:3" s="460" customFormat="1">
      <c r="A40" s="213"/>
      <c r="B40" s="211"/>
      <c r="C40" s="463"/>
    </row>
    <row r="41" spans="1:3" s="460" customFormat="1" ht="27.6">
      <c r="A41" s="213">
        <v>35</v>
      </c>
      <c r="B41" s="211" t="s">
        <v>52</v>
      </c>
      <c r="C41" s="459">
        <v>0</v>
      </c>
    </row>
    <row r="42" spans="1:3" s="460" customFormat="1">
      <c r="A42" s="213">
        <v>36</v>
      </c>
      <c r="B42" s="464" t="s">
        <v>23</v>
      </c>
      <c r="C42" s="468">
        <v>0</v>
      </c>
    </row>
    <row r="43" spans="1:3" s="460" customFormat="1">
      <c r="A43" s="213"/>
      <c r="B43" s="214"/>
      <c r="C43" s="465"/>
    </row>
    <row r="44" spans="1:3" s="460" customFormat="1">
      <c r="A44" s="213">
        <v>37</v>
      </c>
      <c r="B44" s="215" t="s">
        <v>53</v>
      </c>
      <c r="C44" s="468">
        <v>27051876</v>
      </c>
    </row>
    <row r="45" spans="1:3" s="460" customFormat="1">
      <c r="A45" s="213">
        <v>38</v>
      </c>
      <c r="B45" s="206" t="s">
        <v>54</v>
      </c>
      <c r="C45" s="459">
        <v>27051876</v>
      </c>
    </row>
    <row r="46" spans="1:3" s="460" customFormat="1">
      <c r="A46" s="213">
        <v>39</v>
      </c>
      <c r="B46" s="206" t="s">
        <v>55</v>
      </c>
      <c r="C46" s="459">
        <v>0</v>
      </c>
    </row>
    <row r="47" spans="1:3" s="460" customFormat="1">
      <c r="A47" s="213">
        <v>40</v>
      </c>
      <c r="B47" s="216" t="s">
        <v>647</v>
      </c>
      <c r="C47" s="459">
        <v>0</v>
      </c>
    </row>
    <row r="48" spans="1:3" s="460" customFormat="1">
      <c r="A48" s="213">
        <v>41</v>
      </c>
      <c r="B48" s="215" t="s">
        <v>56</v>
      </c>
      <c r="C48" s="468">
        <v>0</v>
      </c>
    </row>
    <row r="49" spans="1:3" s="460" customFormat="1">
      <c r="A49" s="213">
        <v>42</v>
      </c>
      <c r="B49" s="209" t="s">
        <v>57</v>
      </c>
      <c r="C49" s="459">
        <v>0</v>
      </c>
    </row>
    <row r="50" spans="1:3" s="460" customFormat="1">
      <c r="A50" s="213">
        <v>43</v>
      </c>
      <c r="B50" s="210" t="s">
        <v>58</v>
      </c>
      <c r="C50" s="459">
        <v>0</v>
      </c>
    </row>
    <row r="51" spans="1:3" s="460" customFormat="1" ht="27.6">
      <c r="A51" s="213">
        <v>44</v>
      </c>
      <c r="B51" s="209" t="s">
        <v>911</v>
      </c>
      <c r="C51" s="459">
        <v>0</v>
      </c>
    </row>
    <row r="52" spans="1:3" s="460" customFormat="1">
      <c r="A52" s="213"/>
      <c r="B52" s="211"/>
      <c r="C52" s="463"/>
    </row>
    <row r="53" spans="1:3" s="460" customFormat="1" ht="15" thickBot="1">
      <c r="A53" s="213">
        <v>46</v>
      </c>
      <c r="B53" s="217" t="s">
        <v>24</v>
      </c>
      <c r="C53" s="469">
        <v>27051876</v>
      </c>
    </row>
    <row r="56" spans="1:3">
      <c r="B56" s="9" t="s">
        <v>113</v>
      </c>
    </row>
  </sheetData>
  <dataValidations count="1">
    <dataValidation operator="lessThanOrEqual" allowBlank="1" showInputMessage="1" showErrorMessage="1" errorTitle="Should be negative number" error="Should be whole negative number or 0" sqref="C24:C25 C27 C29:C32 C36 C40 C42:C44 C48 C52: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zoomScale="80" zoomScaleNormal="80" workbookViewId="0">
      <selection activeCell="G33" sqref="G33"/>
    </sheetView>
  </sheetViews>
  <sheetFormatPr defaultColWidth="9.21875" defaultRowHeight="13.8"/>
  <cols>
    <col min="1" max="1" width="12.88671875" style="9" customWidth="1"/>
    <col min="2" max="2" width="59" style="9" customWidth="1"/>
    <col min="3" max="3" width="16.77734375" style="9" bestFit="1" customWidth="1"/>
    <col min="4" max="4" width="22.21875" style="9" customWidth="1"/>
    <col min="5" max="5" width="9.21875" style="345"/>
    <col min="6" max="6" width="15.44140625" style="345" bestFit="1" customWidth="1"/>
    <col min="7" max="7" width="14.44140625" style="345" bestFit="1" customWidth="1"/>
    <col min="8" max="16384" width="9.21875" style="345"/>
  </cols>
  <sheetData>
    <row r="1" spans="1:7">
      <c r="A1" s="342" t="s">
        <v>869</v>
      </c>
      <c r="B1" s="344" t="str">
        <f>Info!C2</f>
        <v>კრისტალი</v>
      </c>
    </row>
    <row r="2" spans="1:7" s="340" customFormat="1" ht="15.75" customHeight="1">
      <c r="A2" s="342" t="s">
        <v>88</v>
      </c>
      <c r="B2" s="343">
        <f>'1. key ratios'!B2</f>
        <v>46022</v>
      </c>
    </row>
    <row r="3" spans="1:7" s="340" customFormat="1" ht="15.75" customHeight="1"/>
    <row r="4" spans="1:7" ht="14.4" thickBot="1">
      <c r="A4" s="9" t="s">
        <v>311</v>
      </c>
      <c r="B4" s="218" t="s">
        <v>312</v>
      </c>
    </row>
    <row r="5" spans="1:7" s="10" customFormat="1">
      <c r="A5" s="807" t="s">
        <v>313</v>
      </c>
      <c r="B5" s="808"/>
      <c r="C5" s="219" t="s">
        <v>314</v>
      </c>
      <c r="D5" s="220" t="s">
        <v>315</v>
      </c>
    </row>
    <row r="6" spans="1:7" s="31" customFormat="1">
      <c r="A6" s="221">
        <v>1</v>
      </c>
      <c r="B6" s="222" t="s">
        <v>316</v>
      </c>
      <c r="C6" s="222"/>
      <c r="D6" s="223"/>
    </row>
    <row r="7" spans="1:7" s="31" customFormat="1">
      <c r="A7" s="183" t="s">
        <v>317</v>
      </c>
      <c r="B7" s="224" t="s">
        <v>318</v>
      </c>
      <c r="C7" s="470">
        <v>4.4999999999999998E-2</v>
      </c>
      <c r="D7" s="474">
        <v>29613030.002633132</v>
      </c>
      <c r="F7" s="749"/>
      <c r="G7" s="750"/>
    </row>
    <row r="8" spans="1:7" s="31" customFormat="1">
      <c r="A8" s="183" t="s">
        <v>319</v>
      </c>
      <c r="B8" s="224" t="s">
        <v>320</v>
      </c>
      <c r="C8" s="471">
        <v>0.06</v>
      </c>
      <c r="D8" s="474">
        <v>39484040.00351084</v>
      </c>
    </row>
    <row r="9" spans="1:7" s="31" customFormat="1">
      <c r="A9" s="183" t="s">
        <v>321</v>
      </c>
      <c r="B9" s="224" t="s">
        <v>322</v>
      </c>
      <c r="C9" s="471">
        <v>0.08</v>
      </c>
      <c r="D9" s="474">
        <v>52645386.671347789</v>
      </c>
    </row>
    <row r="10" spans="1:7" s="31" customFormat="1">
      <c r="A10" s="221" t="s">
        <v>323</v>
      </c>
      <c r="B10" s="222" t="s">
        <v>324</v>
      </c>
      <c r="C10" s="227"/>
      <c r="D10" s="228"/>
    </row>
    <row r="11" spans="1:7" s="32" customFormat="1">
      <c r="A11" s="183" t="s">
        <v>325</v>
      </c>
      <c r="B11" s="224" t="s">
        <v>941</v>
      </c>
      <c r="C11" s="471">
        <v>2.5000000000000001E-2</v>
      </c>
      <c r="D11" s="474">
        <v>16451683.334796185</v>
      </c>
    </row>
    <row r="12" spans="1:7" s="32" customFormat="1">
      <c r="A12" s="183" t="s">
        <v>326</v>
      </c>
      <c r="B12" s="224" t="s">
        <v>327</v>
      </c>
      <c r="C12" s="471">
        <v>5.0000000000000001E-3</v>
      </c>
      <c r="D12" s="474">
        <v>3290336.6669592368</v>
      </c>
    </row>
    <row r="13" spans="1:7" s="32" customFormat="1">
      <c r="A13" s="183"/>
      <c r="B13" s="224"/>
      <c r="C13" s="226"/>
      <c r="D13" s="225"/>
    </row>
    <row r="14" spans="1:7" s="31" customFormat="1">
      <c r="A14" s="221" t="s">
        <v>328</v>
      </c>
      <c r="B14" s="222" t="s">
        <v>372</v>
      </c>
      <c r="C14" s="229"/>
      <c r="D14" s="228"/>
    </row>
    <row r="15" spans="1:7" s="31" customFormat="1">
      <c r="A15" s="473" t="s">
        <v>331</v>
      </c>
      <c r="B15" s="224" t="s">
        <v>373</v>
      </c>
      <c r="C15" s="471">
        <v>3.2148350922911371E-2</v>
      </c>
      <c r="D15" s="474">
        <v>21155779.564785622</v>
      </c>
    </row>
    <row r="16" spans="1:7" s="31" customFormat="1">
      <c r="A16" s="473" t="s">
        <v>332</v>
      </c>
      <c r="B16" s="224" t="s">
        <v>334</v>
      </c>
      <c r="C16" s="471">
        <v>3.8228350922911374E-2</v>
      </c>
      <c r="D16" s="474">
        <v>25156828.951808054</v>
      </c>
    </row>
    <row r="17" spans="1:4" s="31" customFormat="1">
      <c r="A17" s="473" t="s">
        <v>333</v>
      </c>
      <c r="B17" s="224" t="s">
        <v>370</v>
      </c>
      <c r="C17" s="471">
        <v>4.6228350922911374E-2</v>
      </c>
      <c r="D17" s="474">
        <v>30421367.618942834</v>
      </c>
    </row>
    <row r="18" spans="1:4" s="10" customFormat="1">
      <c r="A18" s="809" t="s">
        <v>371</v>
      </c>
      <c r="B18" s="810"/>
      <c r="C18" s="230" t="s">
        <v>314</v>
      </c>
      <c r="D18" s="231" t="s">
        <v>315</v>
      </c>
    </row>
    <row r="19" spans="1:4" s="31" customFormat="1">
      <c r="A19" s="232">
        <v>4</v>
      </c>
      <c r="B19" s="224" t="s">
        <v>22</v>
      </c>
      <c r="C19" s="471">
        <v>0.10714835092291136</v>
      </c>
      <c r="D19" s="474">
        <v>70510829.56917417</v>
      </c>
    </row>
    <row r="20" spans="1:4" s="31" customFormat="1">
      <c r="A20" s="232">
        <v>5</v>
      </c>
      <c r="B20" s="224" t="s">
        <v>68</v>
      </c>
      <c r="C20" s="471">
        <v>0.12822835092291138</v>
      </c>
      <c r="D20" s="474">
        <v>84382888.957074314</v>
      </c>
    </row>
    <row r="21" spans="1:4" s="31" customFormat="1" ht="14.4" thickBot="1">
      <c r="A21" s="233" t="s">
        <v>329</v>
      </c>
      <c r="B21" s="234" t="s">
        <v>67</v>
      </c>
      <c r="C21" s="472">
        <v>0.15622835092291137</v>
      </c>
      <c r="D21" s="742">
        <v>102808774.29204604</v>
      </c>
    </row>
    <row r="23" spans="1:4">
      <c r="B23" s="260"/>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8"/>
  <sheetViews>
    <sheetView zoomScale="70" zoomScaleNormal="70" workbookViewId="0">
      <pane xSplit="1" ySplit="5" topLeftCell="B6" activePane="bottomRight" state="frozen"/>
      <selection activeCell="C19" sqref="C19"/>
      <selection pane="topRight" activeCell="C19" sqref="C19"/>
      <selection pane="bottomLeft" activeCell="C19" sqref="C19"/>
      <selection pane="bottomRight" activeCell="C6" sqref="C6:C65"/>
    </sheetView>
  </sheetViews>
  <sheetFormatPr defaultRowHeight="14.4"/>
  <cols>
    <col min="1" max="1" width="12.5546875" style="9" customWidth="1"/>
    <col min="2" max="2" width="91.77734375" style="9" customWidth="1"/>
    <col min="3" max="3" width="53.21875" style="9" customWidth="1"/>
    <col min="4" max="4" width="32.21875" style="9" customWidth="1"/>
    <col min="5" max="16384" width="8.88671875" style="324"/>
  </cols>
  <sheetData>
    <row r="1" spans="1:5">
      <c r="A1" s="342" t="s">
        <v>869</v>
      </c>
      <c r="B1" s="344" t="str">
        <f>Info!C2</f>
        <v>კრისტალი</v>
      </c>
      <c r="E1" s="345"/>
    </row>
    <row r="2" spans="1:5" s="340" customFormat="1" ht="15.75" customHeight="1">
      <c r="A2" s="342" t="s">
        <v>88</v>
      </c>
      <c r="B2" s="343">
        <f>'1. key ratios'!B2</f>
        <v>46022</v>
      </c>
    </row>
    <row r="3" spans="1:5" s="340" customFormat="1" ht="15.75" customHeight="1">
      <c r="A3" s="342"/>
    </row>
    <row r="4" spans="1:5" s="340" customFormat="1" ht="15.75" customHeight="1" thickBot="1">
      <c r="A4" s="340" t="s">
        <v>221</v>
      </c>
      <c r="B4" s="668" t="s">
        <v>140</v>
      </c>
      <c r="D4" s="669" t="s">
        <v>69</v>
      </c>
    </row>
    <row r="5" spans="1:5" ht="28.2" thickBot="1">
      <c r="A5" s="662" t="s">
        <v>25</v>
      </c>
      <c r="B5" s="663" t="s">
        <v>116</v>
      </c>
      <c r="C5" s="664" t="s">
        <v>769</v>
      </c>
      <c r="D5" s="665" t="s">
        <v>141</v>
      </c>
    </row>
    <row r="6" spans="1:5">
      <c r="A6" s="670">
        <v>1</v>
      </c>
      <c r="B6" s="660" t="s">
        <v>763</v>
      </c>
      <c r="C6" s="661">
        <v>57501561.104499996</v>
      </c>
      <c r="D6" s="671"/>
    </row>
    <row r="7" spans="1:5">
      <c r="A7" s="672">
        <v>1.1000000000000001</v>
      </c>
      <c r="B7" s="673" t="s">
        <v>77</v>
      </c>
      <c r="C7" s="652">
        <v>29517349.413499996</v>
      </c>
      <c r="D7" s="674"/>
    </row>
    <row r="8" spans="1:5">
      <c r="A8" s="672">
        <v>1.2</v>
      </c>
      <c r="B8" s="673" t="s">
        <v>78</v>
      </c>
      <c r="C8" s="652">
        <v>16374129.880000001</v>
      </c>
      <c r="D8" s="674"/>
    </row>
    <row r="9" spans="1:5">
      <c r="A9" s="672">
        <v>1.3</v>
      </c>
      <c r="B9" s="673" t="s">
        <v>912</v>
      </c>
      <c r="C9" s="652">
        <v>11610081.810999999</v>
      </c>
      <c r="D9" s="674"/>
    </row>
    <row r="10" spans="1:5">
      <c r="A10" s="675">
        <v>2</v>
      </c>
      <c r="B10" s="653" t="s">
        <v>652</v>
      </c>
      <c r="C10" s="651">
        <v>0</v>
      </c>
      <c r="D10" s="674"/>
    </row>
    <row r="11" spans="1:5">
      <c r="A11" s="675">
        <v>2.1</v>
      </c>
      <c r="B11" s="676" t="s">
        <v>653</v>
      </c>
      <c r="C11" s="652">
        <v>0</v>
      </c>
      <c r="D11" s="677"/>
    </row>
    <row r="12" spans="1:5" ht="23.55" customHeight="1">
      <c r="A12" s="675">
        <v>3</v>
      </c>
      <c r="B12" s="654" t="s">
        <v>654</v>
      </c>
      <c r="C12" s="651">
        <v>0</v>
      </c>
      <c r="D12" s="677"/>
    </row>
    <row r="13" spans="1:5" ht="22.95" customHeight="1">
      <c r="A13" s="675">
        <v>4</v>
      </c>
      <c r="B13" s="655" t="s">
        <v>655</v>
      </c>
      <c r="C13" s="651">
        <v>0</v>
      </c>
      <c r="D13" s="677"/>
    </row>
    <row r="14" spans="1:5">
      <c r="A14" s="675">
        <v>5</v>
      </c>
      <c r="B14" s="655" t="s">
        <v>656</v>
      </c>
      <c r="C14" s="651">
        <v>0</v>
      </c>
      <c r="D14" s="677"/>
    </row>
    <row r="15" spans="1:5">
      <c r="A15" s="675">
        <v>5.0999999999999996</v>
      </c>
      <c r="B15" s="678" t="s">
        <v>657</v>
      </c>
      <c r="C15" s="652">
        <v>0</v>
      </c>
      <c r="D15" s="677"/>
    </row>
    <row r="16" spans="1:5">
      <c r="A16" s="675">
        <v>5.2</v>
      </c>
      <c r="B16" s="678" t="s">
        <v>500</v>
      </c>
      <c r="C16" s="652">
        <v>0</v>
      </c>
      <c r="D16" s="674"/>
    </row>
    <row r="17" spans="1:4">
      <c r="A17" s="675">
        <v>5.3</v>
      </c>
      <c r="B17" s="678" t="s">
        <v>658</v>
      </c>
      <c r="C17" s="652">
        <v>0</v>
      </c>
      <c r="D17" s="674"/>
    </row>
    <row r="18" spans="1:4">
      <c r="A18" s="675">
        <v>6</v>
      </c>
      <c r="B18" s="654" t="s">
        <v>659</v>
      </c>
      <c r="C18" s="651">
        <v>568057791.8892411</v>
      </c>
      <c r="D18" s="674"/>
    </row>
    <row r="19" spans="1:4">
      <c r="A19" s="675">
        <v>6.1</v>
      </c>
      <c r="B19" s="678" t="s">
        <v>500</v>
      </c>
      <c r="C19" s="652">
        <v>0</v>
      </c>
      <c r="D19" s="674"/>
    </row>
    <row r="20" spans="1:4">
      <c r="A20" s="675">
        <v>6.2</v>
      </c>
      <c r="B20" s="678" t="s">
        <v>658</v>
      </c>
      <c r="C20" s="652">
        <v>568057791.8892411</v>
      </c>
      <c r="D20" s="674"/>
    </row>
    <row r="21" spans="1:4">
      <c r="A21" s="675">
        <v>7</v>
      </c>
      <c r="B21" s="656" t="s">
        <v>660</v>
      </c>
      <c r="C21" s="651">
        <v>609791</v>
      </c>
      <c r="D21" s="679" t="s">
        <v>976</v>
      </c>
    </row>
    <row r="22" spans="1:4">
      <c r="A22" s="675">
        <v>8</v>
      </c>
      <c r="B22" s="656" t="s">
        <v>661</v>
      </c>
      <c r="C22" s="651">
        <v>0</v>
      </c>
      <c r="D22" s="674"/>
    </row>
    <row r="23" spans="1:4">
      <c r="A23" s="675">
        <v>9</v>
      </c>
      <c r="B23" s="655" t="s">
        <v>662</v>
      </c>
      <c r="C23" s="651">
        <v>22672753.342881359</v>
      </c>
      <c r="D23" s="680"/>
    </row>
    <row r="24" spans="1:4">
      <c r="A24" s="675">
        <v>9.1</v>
      </c>
      <c r="B24" s="681" t="s">
        <v>663</v>
      </c>
      <c r="C24" s="652">
        <v>22672753.342881359</v>
      </c>
      <c r="D24" s="674"/>
    </row>
    <row r="25" spans="1:4">
      <c r="A25" s="675">
        <v>9.1999999999999993</v>
      </c>
      <c r="B25" s="681" t="s">
        <v>664</v>
      </c>
      <c r="C25" s="651">
        <v>0</v>
      </c>
      <c r="D25" s="682"/>
    </row>
    <row r="26" spans="1:4">
      <c r="A26" s="675">
        <v>10</v>
      </c>
      <c r="B26" s="655" t="s">
        <v>36</v>
      </c>
      <c r="C26" s="651">
        <v>7511205.5999999996</v>
      </c>
      <c r="D26" s="679" t="s">
        <v>975</v>
      </c>
    </row>
    <row r="27" spans="1:4">
      <c r="A27" s="675">
        <v>10.1</v>
      </c>
      <c r="B27" s="681" t="s">
        <v>665</v>
      </c>
      <c r="C27" s="652">
        <v>0</v>
      </c>
      <c r="D27" s="674"/>
    </row>
    <row r="28" spans="1:4">
      <c r="A28" s="675">
        <v>10.199999999999999</v>
      </c>
      <c r="B28" s="681" t="s">
        <v>666</v>
      </c>
      <c r="C28" s="652">
        <v>7511205.5999999996</v>
      </c>
      <c r="D28" s="674"/>
    </row>
    <row r="29" spans="1:4">
      <c r="A29" s="675">
        <v>11</v>
      </c>
      <c r="B29" s="655" t="s">
        <v>667</v>
      </c>
      <c r="C29" s="651">
        <v>4221870.0096963299</v>
      </c>
      <c r="D29" s="674"/>
    </row>
    <row r="30" spans="1:4">
      <c r="A30" s="675">
        <v>11.1</v>
      </c>
      <c r="B30" s="681" t="s">
        <v>668</v>
      </c>
      <c r="C30" s="652">
        <v>3827004.4712196682</v>
      </c>
      <c r="D30" s="674"/>
    </row>
    <row r="31" spans="1:4">
      <c r="A31" s="675">
        <v>11.2</v>
      </c>
      <c r="B31" s="681" t="s">
        <v>669</v>
      </c>
      <c r="C31" s="652">
        <v>394865.53847666149</v>
      </c>
      <c r="D31" s="674"/>
    </row>
    <row r="32" spans="1:4">
      <c r="A32" s="675">
        <v>13</v>
      </c>
      <c r="B32" s="655" t="s">
        <v>79</v>
      </c>
      <c r="C32" s="651">
        <v>9914887.5546185616</v>
      </c>
      <c r="D32" s="674"/>
    </row>
    <row r="33" spans="1:4">
      <c r="A33" s="675">
        <v>13.1</v>
      </c>
      <c r="B33" s="683" t="s">
        <v>670</v>
      </c>
      <c r="C33" s="652">
        <v>3206755.12</v>
      </c>
      <c r="D33" s="674"/>
    </row>
    <row r="34" spans="1:4">
      <c r="A34" s="675">
        <v>13.2</v>
      </c>
      <c r="B34" s="683" t="s">
        <v>671</v>
      </c>
      <c r="C34" s="652">
        <v>0</v>
      </c>
      <c r="D34" s="674"/>
    </row>
    <row r="35" spans="1:4">
      <c r="A35" s="675">
        <v>14</v>
      </c>
      <c r="B35" s="657" t="s">
        <v>672</v>
      </c>
      <c r="C35" s="651">
        <v>670489860.50093734</v>
      </c>
      <c r="D35" s="674"/>
    </row>
    <row r="36" spans="1:4">
      <c r="A36" s="684"/>
      <c r="B36" s="666" t="s">
        <v>84</v>
      </c>
      <c r="C36" s="667"/>
      <c r="D36" s="685"/>
    </row>
    <row r="37" spans="1:4">
      <c r="A37" s="675">
        <v>15</v>
      </c>
      <c r="B37" s="656" t="s">
        <v>673</v>
      </c>
      <c r="C37" s="651">
        <v>0</v>
      </c>
      <c r="D37" s="682"/>
    </row>
    <row r="38" spans="1:4">
      <c r="A38" s="675">
        <v>15.1</v>
      </c>
      <c r="B38" s="676" t="s">
        <v>653</v>
      </c>
      <c r="C38" s="652">
        <v>0</v>
      </c>
      <c r="D38" s="674"/>
    </row>
    <row r="39" spans="1:4" ht="24">
      <c r="A39" s="675">
        <v>16</v>
      </c>
      <c r="B39" s="656" t="s">
        <v>674</v>
      </c>
      <c r="C39" s="651">
        <v>12802164.969999999</v>
      </c>
      <c r="D39" s="674"/>
    </row>
    <row r="40" spans="1:4">
      <c r="A40" s="675">
        <v>17</v>
      </c>
      <c r="B40" s="656" t="s">
        <v>675</v>
      </c>
      <c r="C40" s="651">
        <v>493876481.86889857</v>
      </c>
      <c r="D40" s="674"/>
    </row>
    <row r="41" spans="1:4">
      <c r="A41" s="675">
        <v>17.100000000000001</v>
      </c>
      <c r="B41" s="686" t="s">
        <v>676</v>
      </c>
      <c r="C41" s="652">
        <v>33096932.30669871</v>
      </c>
      <c r="D41" s="674"/>
    </row>
    <row r="42" spans="1:4">
      <c r="A42" s="675">
        <v>17.2</v>
      </c>
      <c r="B42" s="673" t="s">
        <v>80</v>
      </c>
      <c r="C42" s="652">
        <v>394779102.86799991</v>
      </c>
      <c r="D42" s="674"/>
    </row>
    <row r="43" spans="1:4">
      <c r="A43" s="675">
        <v>17.3</v>
      </c>
      <c r="B43" s="686" t="s">
        <v>677</v>
      </c>
      <c r="C43" s="652">
        <v>59703058.448399968</v>
      </c>
      <c r="D43" s="674"/>
    </row>
    <row r="44" spans="1:4">
      <c r="A44" s="675">
        <v>17.399999999999999</v>
      </c>
      <c r="B44" s="686" t="s">
        <v>678</v>
      </c>
      <c r="C44" s="652">
        <v>6297388.245799996</v>
      </c>
      <c r="D44" s="674"/>
    </row>
    <row r="45" spans="1:4">
      <c r="A45" s="675">
        <v>18</v>
      </c>
      <c r="B45" s="655" t="s">
        <v>679</v>
      </c>
      <c r="C45" s="651">
        <v>510815.64</v>
      </c>
      <c r="D45" s="674"/>
    </row>
    <row r="46" spans="1:4">
      <c r="A46" s="675">
        <v>19</v>
      </c>
      <c r="B46" s="655" t="s">
        <v>680</v>
      </c>
      <c r="C46" s="651">
        <v>0</v>
      </c>
      <c r="D46" s="687"/>
    </row>
    <row r="47" spans="1:4">
      <c r="A47" s="675">
        <v>19.100000000000001</v>
      </c>
      <c r="B47" s="688" t="s">
        <v>681</v>
      </c>
      <c r="C47" s="652">
        <v>0</v>
      </c>
      <c r="D47" s="687"/>
    </row>
    <row r="48" spans="1:4">
      <c r="A48" s="675">
        <v>19.2</v>
      </c>
      <c r="B48" s="688" t="s">
        <v>682</v>
      </c>
      <c r="C48" s="652">
        <v>0</v>
      </c>
      <c r="D48" s="687"/>
    </row>
    <row r="49" spans="1:4">
      <c r="A49" s="675">
        <v>20</v>
      </c>
      <c r="B49" s="657" t="s">
        <v>81</v>
      </c>
      <c r="C49" s="651">
        <v>40802676.2892</v>
      </c>
      <c r="D49" s="679" t="s">
        <v>980</v>
      </c>
    </row>
    <row r="50" spans="1:4">
      <c r="A50" s="675">
        <v>21</v>
      </c>
      <c r="B50" s="653" t="s">
        <v>71</v>
      </c>
      <c r="C50" s="651">
        <v>15825327.238138998</v>
      </c>
      <c r="D50" s="687"/>
    </row>
    <row r="51" spans="1:4">
      <c r="A51" s="675">
        <v>21.1</v>
      </c>
      <c r="B51" s="673" t="s">
        <v>683</v>
      </c>
      <c r="C51" s="652">
        <v>64450.432699999998</v>
      </c>
      <c r="D51" s="687"/>
    </row>
    <row r="52" spans="1:4">
      <c r="A52" s="675">
        <v>22</v>
      </c>
      <c r="B52" s="657" t="s">
        <v>684</v>
      </c>
      <c r="C52" s="651">
        <v>563817466.00623751</v>
      </c>
      <c r="D52" s="687"/>
    </row>
    <row r="53" spans="1:4">
      <c r="A53" s="684"/>
      <c r="B53" s="666" t="s">
        <v>685</v>
      </c>
      <c r="C53" s="667"/>
      <c r="D53" s="585"/>
    </row>
    <row r="54" spans="1:4">
      <c r="A54" s="675">
        <v>23</v>
      </c>
      <c r="B54" s="657" t="s">
        <v>85</v>
      </c>
      <c r="C54" s="651">
        <v>3634576</v>
      </c>
      <c r="D54" s="679" t="s">
        <v>977</v>
      </c>
    </row>
    <row r="55" spans="1:4">
      <c r="A55" s="675">
        <v>24</v>
      </c>
      <c r="B55" s="657" t="s">
        <v>686</v>
      </c>
      <c r="C55" s="651">
        <v>0</v>
      </c>
      <c r="D55" s="687"/>
    </row>
    <row r="56" spans="1:4">
      <c r="A56" s="675">
        <v>25</v>
      </c>
      <c r="B56" s="657" t="s">
        <v>82</v>
      </c>
      <c r="C56" s="651">
        <v>22109970.23</v>
      </c>
      <c r="D56" s="679" t="s">
        <v>978</v>
      </c>
    </row>
    <row r="57" spans="1:4">
      <c r="A57" s="675">
        <v>26</v>
      </c>
      <c r="B57" s="655" t="s">
        <v>687</v>
      </c>
      <c r="C57" s="651">
        <v>0</v>
      </c>
      <c r="D57" s="687"/>
    </row>
    <row r="58" spans="1:4">
      <c r="A58" s="675">
        <v>27</v>
      </c>
      <c r="B58" s="655" t="s">
        <v>688</v>
      </c>
      <c r="C58" s="651">
        <v>0</v>
      </c>
      <c r="D58" s="687"/>
    </row>
    <row r="59" spans="1:4">
      <c r="A59" s="675">
        <v>27.1</v>
      </c>
      <c r="B59" s="688" t="s">
        <v>689</v>
      </c>
      <c r="C59" s="652">
        <v>0</v>
      </c>
      <c r="D59" s="687"/>
    </row>
    <row r="60" spans="1:4">
      <c r="A60" s="675">
        <v>27.2</v>
      </c>
      <c r="B60" s="686" t="s">
        <v>690</v>
      </c>
      <c r="C60" s="652">
        <v>0</v>
      </c>
      <c r="D60" s="687"/>
    </row>
    <row r="61" spans="1:4">
      <c r="A61" s="675">
        <v>28</v>
      </c>
      <c r="B61" s="653" t="s">
        <v>691</v>
      </c>
      <c r="C61" s="651">
        <v>0</v>
      </c>
      <c r="D61" s="687"/>
    </row>
    <row r="62" spans="1:4">
      <c r="A62" s="675">
        <v>29</v>
      </c>
      <c r="B62" s="655" t="s">
        <v>692</v>
      </c>
      <c r="C62" s="651">
        <v>0</v>
      </c>
      <c r="D62" s="687"/>
    </row>
    <row r="63" spans="1:4">
      <c r="A63" s="675">
        <v>29.1</v>
      </c>
      <c r="B63" s="678" t="s">
        <v>693</v>
      </c>
      <c r="C63" s="652">
        <v>0</v>
      </c>
      <c r="D63" s="687"/>
    </row>
    <row r="64" spans="1:4" ht="24" customHeight="1">
      <c r="A64" s="675">
        <v>29.2</v>
      </c>
      <c r="B64" s="688" t="s">
        <v>694</v>
      </c>
      <c r="C64" s="652">
        <v>0</v>
      </c>
      <c r="D64" s="687"/>
    </row>
    <row r="65" spans="1:4" ht="22.05" customHeight="1">
      <c r="A65" s="675">
        <v>29.3</v>
      </c>
      <c r="B65" s="681" t="s">
        <v>695</v>
      </c>
      <c r="C65" s="652">
        <v>0</v>
      </c>
      <c r="D65" s="687"/>
    </row>
    <row r="66" spans="1:4">
      <c r="A66" s="675">
        <v>30</v>
      </c>
      <c r="B66" s="655" t="s">
        <v>83</v>
      </c>
      <c r="C66" s="651">
        <v>80927848.264086574</v>
      </c>
      <c r="D66" s="679" t="s">
        <v>979</v>
      </c>
    </row>
    <row r="67" spans="1:4">
      <c r="A67" s="675">
        <v>31</v>
      </c>
      <c r="B67" s="689" t="s">
        <v>696</v>
      </c>
      <c r="C67" s="651">
        <v>106672394.49408658</v>
      </c>
      <c r="D67" s="687"/>
    </row>
    <row r="68" spans="1:4" ht="15" thickBot="1">
      <c r="A68" s="690">
        <v>32</v>
      </c>
      <c r="B68" s="658" t="s">
        <v>697</v>
      </c>
      <c r="C68" s="659">
        <v>670489860.50032413</v>
      </c>
      <c r="D68" s="69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3"/>
  <sheetViews>
    <sheetView zoomScale="80" zoomScaleNormal="80" workbookViewId="0">
      <pane xSplit="2" ySplit="7" topLeftCell="M8" activePane="bottomRight" state="frozen"/>
      <selection activeCell="A5" sqref="A5:B6"/>
      <selection pane="topRight" activeCell="A5" sqref="A5:B6"/>
      <selection pane="bottomLeft" activeCell="A5" sqref="A5:B6"/>
      <selection pane="bottomRight" activeCell="S25" sqref="S25"/>
    </sheetView>
  </sheetViews>
  <sheetFormatPr defaultColWidth="9.21875" defaultRowHeight="13.8"/>
  <cols>
    <col min="1" max="1" width="12.6640625" style="11" customWidth="1"/>
    <col min="2" max="2" width="97" style="11" bestFit="1" customWidth="1"/>
    <col min="3" max="3" width="13.77734375" style="11" bestFit="1" customWidth="1"/>
    <col min="4" max="4" width="13.21875" style="11" bestFit="1" customWidth="1"/>
    <col min="5" max="5" width="13.77734375" style="11" bestFit="1" customWidth="1"/>
    <col min="6" max="6" width="13.21875" style="11" bestFit="1" customWidth="1"/>
    <col min="7" max="7" width="9.44140625" style="11" bestFit="1" customWidth="1"/>
    <col min="8" max="8" width="13.21875" style="11" bestFit="1" customWidth="1"/>
    <col min="9" max="9" width="12.6640625" style="11" bestFit="1" customWidth="1"/>
    <col min="10" max="10" width="13.21875" style="11" bestFit="1" customWidth="1"/>
    <col min="11" max="11" width="16.21875" style="11" customWidth="1"/>
    <col min="12" max="12" width="13.21875" style="11" bestFit="1" customWidth="1"/>
    <col min="13" max="13" width="13.77734375" style="11" bestFit="1" customWidth="1"/>
    <col min="14" max="14" width="13.33203125" style="11" bestFit="1" customWidth="1"/>
    <col min="15" max="15" width="12.5546875" style="11" bestFit="1" customWidth="1"/>
    <col min="16" max="16" width="13.21875" style="11" bestFit="1" customWidth="1"/>
    <col min="17" max="17" width="12.6640625" style="11" bestFit="1" customWidth="1"/>
    <col min="18" max="18" width="13.21875" style="11" bestFit="1" customWidth="1"/>
    <col min="19" max="19" width="31.5546875" style="11" bestFit="1" customWidth="1"/>
    <col min="20" max="16384" width="9.21875" style="2"/>
  </cols>
  <sheetData>
    <row r="1" spans="1:19">
      <c r="A1" s="342" t="s">
        <v>869</v>
      </c>
      <c r="B1" s="344" t="str">
        <f>Info!C2</f>
        <v>კრისტალი</v>
      </c>
    </row>
    <row r="2" spans="1:19">
      <c r="A2" s="342" t="s">
        <v>88</v>
      </c>
      <c r="B2" s="343">
        <f>'1. key ratios'!B2</f>
        <v>46022</v>
      </c>
    </row>
    <row r="4" spans="1:19" ht="28.2" thickBot="1">
      <c r="A4" s="8" t="s">
        <v>222</v>
      </c>
      <c r="B4" s="235" t="s">
        <v>253</v>
      </c>
    </row>
    <row r="5" spans="1:19">
      <c r="A5" s="236"/>
      <c r="B5" s="237"/>
      <c r="C5" s="238" t="s">
        <v>0</v>
      </c>
      <c r="D5" s="238" t="s">
        <v>1</v>
      </c>
      <c r="E5" s="238" t="s">
        <v>2</v>
      </c>
      <c r="F5" s="238" t="s">
        <v>3</v>
      </c>
      <c r="G5" s="238" t="s">
        <v>4</v>
      </c>
      <c r="H5" s="238" t="s">
        <v>6</v>
      </c>
      <c r="I5" s="238" t="s">
        <v>117</v>
      </c>
      <c r="J5" s="238" t="s">
        <v>118</v>
      </c>
      <c r="K5" s="238" t="s">
        <v>119</v>
      </c>
      <c r="L5" s="238" t="s">
        <v>120</v>
      </c>
      <c r="M5" s="238" t="s">
        <v>121</v>
      </c>
      <c r="N5" s="238" t="s">
        <v>122</v>
      </c>
      <c r="O5" s="238" t="s">
        <v>242</v>
      </c>
      <c r="P5" s="238" t="s">
        <v>243</v>
      </c>
      <c r="Q5" s="238" t="s">
        <v>244</v>
      </c>
      <c r="R5" s="239" t="s">
        <v>245</v>
      </c>
      <c r="S5" s="240" t="s">
        <v>246</v>
      </c>
    </row>
    <row r="6" spans="1:19">
      <c r="A6" s="241"/>
      <c r="B6" s="815" t="s">
        <v>950</v>
      </c>
      <c r="C6" s="813">
        <v>0</v>
      </c>
      <c r="D6" s="814"/>
      <c r="E6" s="813">
        <v>0.2</v>
      </c>
      <c r="F6" s="814"/>
      <c r="G6" s="813">
        <v>0.35</v>
      </c>
      <c r="H6" s="814"/>
      <c r="I6" s="813">
        <v>0.5</v>
      </c>
      <c r="J6" s="814"/>
      <c r="K6" s="813">
        <v>0.75</v>
      </c>
      <c r="L6" s="814"/>
      <c r="M6" s="813">
        <v>1</v>
      </c>
      <c r="N6" s="814"/>
      <c r="O6" s="813">
        <v>1.5</v>
      </c>
      <c r="P6" s="814"/>
      <c r="Q6" s="813">
        <v>2.5</v>
      </c>
      <c r="R6" s="814"/>
      <c r="S6" s="811" t="s">
        <v>128</v>
      </c>
    </row>
    <row r="7" spans="1:19">
      <c r="A7" s="241"/>
      <c r="B7" s="816"/>
      <c r="C7" s="242" t="s">
        <v>240</v>
      </c>
      <c r="D7" s="242" t="s">
        <v>241</v>
      </c>
      <c r="E7" s="242" t="s">
        <v>240</v>
      </c>
      <c r="F7" s="242" t="s">
        <v>241</v>
      </c>
      <c r="G7" s="242" t="s">
        <v>240</v>
      </c>
      <c r="H7" s="242" t="s">
        <v>241</v>
      </c>
      <c r="I7" s="242" t="s">
        <v>240</v>
      </c>
      <c r="J7" s="242" t="s">
        <v>241</v>
      </c>
      <c r="K7" s="242" t="s">
        <v>240</v>
      </c>
      <c r="L7" s="242" t="s">
        <v>241</v>
      </c>
      <c r="M7" s="242" t="s">
        <v>240</v>
      </c>
      <c r="N7" s="242" t="s">
        <v>241</v>
      </c>
      <c r="O7" s="242" t="s">
        <v>240</v>
      </c>
      <c r="P7" s="242" t="s">
        <v>241</v>
      </c>
      <c r="Q7" s="242" t="s">
        <v>240</v>
      </c>
      <c r="R7" s="242" t="s">
        <v>241</v>
      </c>
      <c r="S7" s="812"/>
    </row>
    <row r="8" spans="1:19">
      <c r="A8" s="243">
        <v>1</v>
      </c>
      <c r="B8" s="244" t="s">
        <v>107</v>
      </c>
      <c r="C8" s="454">
        <v>16374129.880000001</v>
      </c>
      <c r="D8" s="454"/>
      <c r="E8" s="454"/>
      <c r="F8" s="455"/>
      <c r="G8" s="454"/>
      <c r="H8" s="454"/>
      <c r="I8" s="454"/>
      <c r="J8" s="454"/>
      <c r="K8" s="454"/>
      <c r="L8" s="454"/>
      <c r="M8" s="454"/>
      <c r="N8" s="454"/>
      <c r="O8" s="454"/>
      <c r="P8" s="454"/>
      <c r="Q8" s="454"/>
      <c r="R8" s="455"/>
      <c r="S8" s="456">
        <v>0</v>
      </c>
    </row>
    <row r="9" spans="1:19">
      <c r="A9" s="243">
        <v>2</v>
      </c>
      <c r="B9" s="244" t="s">
        <v>108</v>
      </c>
      <c r="C9" s="454"/>
      <c r="D9" s="454"/>
      <c r="E9" s="454"/>
      <c r="F9" s="454"/>
      <c r="G9" s="454"/>
      <c r="H9" s="454"/>
      <c r="I9" s="454"/>
      <c r="J9" s="454"/>
      <c r="K9" s="454"/>
      <c r="L9" s="454"/>
      <c r="M9" s="454"/>
      <c r="N9" s="454"/>
      <c r="O9" s="454"/>
      <c r="P9" s="454"/>
      <c r="Q9" s="454"/>
      <c r="R9" s="455"/>
      <c r="S9" s="456">
        <v>0</v>
      </c>
    </row>
    <row r="10" spans="1:19">
      <c r="A10" s="243">
        <v>3</v>
      </c>
      <c r="B10" s="244" t="s">
        <v>109</v>
      </c>
      <c r="C10" s="454"/>
      <c r="D10" s="454"/>
      <c r="E10" s="454"/>
      <c r="F10" s="454"/>
      <c r="G10" s="454"/>
      <c r="H10" s="454"/>
      <c r="I10" s="454"/>
      <c r="J10" s="454"/>
      <c r="K10" s="454"/>
      <c r="L10" s="454"/>
      <c r="M10" s="454"/>
      <c r="N10" s="454"/>
      <c r="O10" s="454"/>
      <c r="P10" s="454"/>
      <c r="Q10" s="454"/>
      <c r="R10" s="455"/>
      <c r="S10" s="456">
        <v>0</v>
      </c>
    </row>
    <row r="11" spans="1:19">
      <c r="A11" s="243">
        <v>4</v>
      </c>
      <c r="B11" s="244" t="s">
        <v>110</v>
      </c>
      <c r="C11" s="454"/>
      <c r="D11" s="454"/>
      <c r="E11" s="454"/>
      <c r="F11" s="454"/>
      <c r="G11" s="454"/>
      <c r="H11" s="454"/>
      <c r="I11" s="454"/>
      <c r="J11" s="454"/>
      <c r="K11" s="454"/>
      <c r="L11" s="454"/>
      <c r="M11" s="454"/>
      <c r="N11" s="454"/>
      <c r="O11" s="454"/>
      <c r="P11" s="454"/>
      <c r="Q11" s="454"/>
      <c r="R11" s="455"/>
      <c r="S11" s="456">
        <v>0</v>
      </c>
    </row>
    <row r="12" spans="1:19">
      <c r="A12" s="243">
        <v>5</v>
      </c>
      <c r="B12" s="244" t="s">
        <v>853</v>
      </c>
      <c r="C12" s="454"/>
      <c r="D12" s="454"/>
      <c r="E12" s="454"/>
      <c r="F12" s="454"/>
      <c r="G12" s="454"/>
      <c r="H12" s="454"/>
      <c r="I12" s="454"/>
      <c r="J12" s="454"/>
      <c r="K12" s="454"/>
      <c r="L12" s="454"/>
      <c r="M12" s="454"/>
      <c r="N12" s="454"/>
      <c r="O12" s="454"/>
      <c r="P12" s="454"/>
      <c r="Q12" s="454"/>
      <c r="R12" s="455"/>
      <c r="S12" s="456">
        <v>0</v>
      </c>
    </row>
    <row r="13" spans="1:19">
      <c r="A13" s="243">
        <v>6</v>
      </c>
      <c r="B13" s="244" t="s">
        <v>913</v>
      </c>
      <c r="C13" s="454"/>
      <c r="D13" s="454"/>
      <c r="E13" s="454">
        <v>397182.86000000004</v>
      </c>
      <c r="F13" s="454"/>
      <c r="G13" s="454"/>
      <c r="H13" s="454"/>
      <c r="I13" s="454">
        <v>10836130.950999999</v>
      </c>
      <c r="J13" s="454"/>
      <c r="K13" s="454"/>
      <c r="L13" s="454"/>
      <c r="M13" s="454">
        <v>376768</v>
      </c>
      <c r="N13" s="454"/>
      <c r="O13" s="454"/>
      <c r="P13" s="454"/>
      <c r="Q13" s="454"/>
      <c r="R13" s="455"/>
      <c r="S13" s="456">
        <v>5874270.0474999994</v>
      </c>
    </row>
    <row r="14" spans="1:19">
      <c r="A14" s="243">
        <v>7</v>
      </c>
      <c r="B14" s="244" t="s">
        <v>64</v>
      </c>
      <c r="C14" s="454"/>
      <c r="D14" s="454"/>
      <c r="E14" s="454"/>
      <c r="F14" s="454"/>
      <c r="G14" s="454"/>
      <c r="H14" s="454"/>
      <c r="I14" s="454"/>
      <c r="J14" s="454"/>
      <c r="K14" s="454"/>
      <c r="L14" s="454"/>
      <c r="M14" s="454"/>
      <c r="N14" s="454"/>
      <c r="O14" s="454"/>
      <c r="P14" s="454"/>
      <c r="Q14" s="454"/>
      <c r="R14" s="455"/>
      <c r="S14" s="456">
        <v>0</v>
      </c>
    </row>
    <row r="15" spans="1:19">
      <c r="A15" s="243">
        <v>8</v>
      </c>
      <c r="B15" s="244" t="s">
        <v>65</v>
      </c>
      <c r="C15" s="454"/>
      <c r="D15" s="454"/>
      <c r="E15" s="454"/>
      <c r="F15" s="454"/>
      <c r="G15" s="454"/>
      <c r="H15" s="454"/>
      <c r="I15" s="454" t="s">
        <v>5</v>
      </c>
      <c r="J15" s="454"/>
      <c r="K15" s="454">
        <v>562658040.10956681</v>
      </c>
      <c r="L15" s="454"/>
      <c r="M15" s="454"/>
      <c r="N15" s="752">
        <v>610070.06168999977</v>
      </c>
      <c r="O15" s="454"/>
      <c r="P15" s="454"/>
      <c r="Q15" s="454"/>
      <c r="R15" s="455"/>
      <c r="S15" s="456">
        <v>422603600.14386511</v>
      </c>
    </row>
    <row r="16" spans="1:19">
      <c r="A16" s="243">
        <v>9</v>
      </c>
      <c r="B16" s="244" t="s">
        <v>854</v>
      </c>
      <c r="C16" s="454"/>
      <c r="D16" s="454"/>
      <c r="E16" s="454"/>
      <c r="F16" s="454"/>
      <c r="G16" s="454"/>
      <c r="H16" s="454"/>
      <c r="I16" s="454"/>
      <c r="J16" s="454"/>
      <c r="K16" s="454"/>
      <c r="L16" s="454"/>
      <c r="M16" s="454"/>
      <c r="N16" s="454"/>
      <c r="O16" s="454"/>
      <c r="P16" s="454"/>
      <c r="Q16" s="454"/>
      <c r="R16" s="455"/>
      <c r="S16" s="456">
        <v>0</v>
      </c>
    </row>
    <row r="17" spans="1:19">
      <c r="A17" s="243">
        <v>10</v>
      </c>
      <c r="B17" s="244" t="s">
        <v>60</v>
      </c>
      <c r="C17" s="454"/>
      <c r="D17" s="454"/>
      <c r="E17" s="454"/>
      <c r="F17" s="454"/>
      <c r="G17" s="454"/>
      <c r="H17" s="454"/>
      <c r="I17" s="454"/>
      <c r="J17" s="454"/>
      <c r="K17" s="454"/>
      <c r="L17" s="454"/>
      <c r="M17" s="454">
        <v>2199285.5358951874</v>
      </c>
      <c r="N17" s="454"/>
      <c r="O17" s="454">
        <v>1042240.7734044073</v>
      </c>
      <c r="P17" s="454"/>
      <c r="Q17" s="454"/>
      <c r="R17" s="455"/>
      <c r="S17" s="456">
        <v>3762646.6960017984</v>
      </c>
    </row>
    <row r="18" spans="1:19">
      <c r="A18" s="243">
        <v>11</v>
      </c>
      <c r="B18" s="244" t="s">
        <v>61</v>
      </c>
      <c r="C18" s="454"/>
      <c r="D18" s="454"/>
      <c r="E18" s="454"/>
      <c r="F18" s="454"/>
      <c r="G18" s="454"/>
      <c r="H18" s="454"/>
      <c r="I18" s="454"/>
      <c r="J18" s="454"/>
      <c r="K18" s="454"/>
      <c r="L18" s="454"/>
      <c r="M18" s="454"/>
      <c r="N18" s="454"/>
      <c r="O18" s="454"/>
      <c r="P18" s="454"/>
      <c r="Q18" s="454"/>
      <c r="R18" s="455"/>
      <c r="S18" s="456">
        <v>0</v>
      </c>
    </row>
    <row r="19" spans="1:19">
      <c r="A19" s="243">
        <v>12</v>
      </c>
      <c r="B19" s="244" t="s">
        <v>62</v>
      </c>
      <c r="C19" s="454"/>
      <c r="D19" s="454"/>
      <c r="E19" s="454"/>
      <c r="F19" s="454"/>
      <c r="G19" s="454"/>
      <c r="H19" s="454"/>
      <c r="I19" s="454"/>
      <c r="J19" s="454"/>
      <c r="K19" s="454"/>
      <c r="L19" s="454"/>
      <c r="M19" s="454"/>
      <c r="N19" s="454"/>
      <c r="O19" s="454"/>
      <c r="P19" s="454"/>
      <c r="Q19" s="454"/>
      <c r="R19" s="455"/>
      <c r="S19" s="456">
        <v>0</v>
      </c>
    </row>
    <row r="20" spans="1:19">
      <c r="A20" s="243">
        <v>13</v>
      </c>
      <c r="B20" s="244" t="s">
        <v>63</v>
      </c>
      <c r="C20" s="454"/>
      <c r="D20" s="454"/>
      <c r="E20" s="454"/>
      <c r="F20" s="454"/>
      <c r="G20" s="454"/>
      <c r="H20" s="454"/>
      <c r="I20" s="454"/>
      <c r="J20" s="454"/>
      <c r="K20" s="454"/>
      <c r="L20" s="454"/>
      <c r="M20" s="454"/>
      <c r="N20" s="454"/>
      <c r="O20" s="454"/>
      <c r="P20" s="454"/>
      <c r="Q20" s="454"/>
      <c r="R20" s="455"/>
      <c r="S20" s="456">
        <v>0</v>
      </c>
    </row>
    <row r="21" spans="1:19">
      <c r="A21" s="243">
        <v>14</v>
      </c>
      <c r="B21" s="244" t="s">
        <v>126</v>
      </c>
      <c r="C21" s="454">
        <v>29517349.413499996</v>
      </c>
      <c r="D21" s="454"/>
      <c r="E21" s="454"/>
      <c r="F21" s="454"/>
      <c r="G21" s="454"/>
      <c r="H21" s="454"/>
      <c r="I21" s="454"/>
      <c r="J21" s="454"/>
      <c r="K21" s="454"/>
      <c r="L21" s="454"/>
      <c r="M21" s="454">
        <v>38572870.805001028</v>
      </c>
      <c r="N21" s="454"/>
      <c r="O21" s="454"/>
      <c r="P21" s="454"/>
      <c r="Q21" s="454">
        <v>394865.53847666149</v>
      </c>
      <c r="R21" s="455"/>
      <c r="S21" s="456">
        <v>39560034.65119268</v>
      </c>
    </row>
    <row r="22" spans="1:19" s="492" customFormat="1" ht="14.4" thickBot="1">
      <c r="A22" s="490"/>
      <c r="B22" s="246" t="s">
        <v>59</v>
      </c>
      <c r="C22" s="488">
        <f>SUM(C8:C21)</f>
        <v>45891479.293499999</v>
      </c>
      <c r="D22" s="488">
        <f t="shared" ref="D22:S22" si="0">SUM(D8:D21)</f>
        <v>0</v>
      </c>
      <c r="E22" s="488">
        <f t="shared" si="0"/>
        <v>397182.86000000004</v>
      </c>
      <c r="F22" s="488">
        <f t="shared" si="0"/>
        <v>0</v>
      </c>
      <c r="G22" s="488">
        <f t="shared" si="0"/>
        <v>0</v>
      </c>
      <c r="H22" s="488">
        <f t="shared" si="0"/>
        <v>0</v>
      </c>
      <c r="I22" s="488">
        <f t="shared" si="0"/>
        <v>10836130.950999999</v>
      </c>
      <c r="J22" s="488">
        <f t="shared" si="0"/>
        <v>0</v>
      </c>
      <c r="K22" s="488">
        <f t="shared" si="0"/>
        <v>562658040.10956681</v>
      </c>
      <c r="L22" s="488">
        <f t="shared" si="0"/>
        <v>0</v>
      </c>
      <c r="M22" s="488">
        <f t="shared" si="0"/>
        <v>41148924.340896219</v>
      </c>
      <c r="N22" s="488">
        <f t="shared" si="0"/>
        <v>610070.06168999977</v>
      </c>
      <c r="O22" s="488">
        <f t="shared" si="0"/>
        <v>1042240.7734044073</v>
      </c>
      <c r="P22" s="488">
        <f t="shared" si="0"/>
        <v>0</v>
      </c>
      <c r="Q22" s="488">
        <f t="shared" si="0"/>
        <v>394865.53847666149</v>
      </c>
      <c r="R22" s="488">
        <f t="shared" si="0"/>
        <v>0</v>
      </c>
      <c r="S22" s="491">
        <f t="shared" si="0"/>
        <v>471800551.53855962</v>
      </c>
    </row>
    <row r="23" spans="1:19">
      <c r="S23" s="753"/>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70" zoomScaleNormal="70" workbookViewId="0">
      <pane xSplit="2" ySplit="6" topLeftCell="C7" activePane="bottomRight" state="frozen"/>
      <selection activeCell="C33" sqref="C33:G33"/>
      <selection pane="topRight" activeCell="C33" sqref="C33:G33"/>
      <selection pane="bottomLeft" activeCell="C33" sqref="C33:G33"/>
      <selection pane="bottomRight" activeCell="C33" sqref="C33:G33"/>
    </sheetView>
  </sheetViews>
  <sheetFormatPr defaultColWidth="9.21875" defaultRowHeight="13.8"/>
  <cols>
    <col min="1" max="1" width="12.77734375" style="11" customWidth="1"/>
    <col min="2" max="2" width="97" style="11" bestFit="1" customWidth="1"/>
    <col min="3" max="3" width="19" style="11" customWidth="1"/>
    <col min="4" max="4" width="19.5546875" style="11" customWidth="1"/>
    <col min="5" max="5" width="31.21875" style="11" customWidth="1"/>
    <col min="6" max="6" width="29.21875" style="11" customWidth="1"/>
    <col min="7" max="7" width="28.5546875" style="11" customWidth="1"/>
    <col min="8" max="8" width="26.44140625" style="11" customWidth="1"/>
    <col min="9" max="9" width="23.77734375" style="11" customWidth="1"/>
    <col min="10" max="10" width="21.5546875" style="11" customWidth="1"/>
    <col min="11" max="11" width="15.77734375" style="11" customWidth="1"/>
    <col min="12" max="12" width="13.21875" style="11" customWidth="1"/>
    <col min="13" max="13" width="20.77734375" style="11" customWidth="1"/>
    <col min="14" max="14" width="19.21875" style="11" customWidth="1"/>
    <col min="15" max="15" width="18.44140625" style="11" customWidth="1"/>
    <col min="16" max="16" width="19" style="11" customWidth="1"/>
    <col min="17" max="17" width="20.21875" style="11" customWidth="1"/>
    <col min="18" max="18" width="18" style="11" customWidth="1"/>
    <col min="19" max="19" width="36" style="11" customWidth="1"/>
    <col min="20" max="20" width="19.44140625" style="11" customWidth="1"/>
    <col min="21" max="21" width="19.21875" style="11" customWidth="1"/>
    <col min="22" max="22" width="20" style="11" customWidth="1"/>
    <col min="23" max="16384" width="9.21875" style="2"/>
  </cols>
  <sheetData>
    <row r="1" spans="1:22">
      <c r="A1" s="342" t="s">
        <v>869</v>
      </c>
      <c r="B1" s="344" t="str">
        <f>Info!C2</f>
        <v>კრისტალი</v>
      </c>
    </row>
    <row r="2" spans="1:22">
      <c r="A2" s="342" t="s">
        <v>88</v>
      </c>
      <c r="B2" s="343">
        <f>'1. key ratios'!B2</f>
        <v>46022</v>
      </c>
    </row>
    <row r="4" spans="1:22" ht="28.2" thickBot="1">
      <c r="A4" s="11" t="s">
        <v>223</v>
      </c>
      <c r="B4" s="235" t="s">
        <v>254</v>
      </c>
      <c r="V4" s="16" t="s">
        <v>69</v>
      </c>
    </row>
    <row r="5" spans="1:22">
      <c r="A5" s="247"/>
      <c r="B5" s="248"/>
      <c r="C5" s="817" t="s">
        <v>95</v>
      </c>
      <c r="D5" s="818"/>
      <c r="E5" s="818"/>
      <c r="F5" s="818"/>
      <c r="G5" s="818"/>
      <c r="H5" s="818"/>
      <c r="I5" s="818"/>
      <c r="J5" s="818"/>
      <c r="K5" s="818"/>
      <c r="L5" s="819"/>
      <c r="M5" s="817" t="s">
        <v>96</v>
      </c>
      <c r="N5" s="818"/>
      <c r="O5" s="818"/>
      <c r="P5" s="818"/>
      <c r="Q5" s="818"/>
      <c r="R5" s="818"/>
      <c r="S5" s="819"/>
      <c r="T5" s="822" t="s">
        <v>252</v>
      </c>
      <c r="U5" s="822" t="s">
        <v>251</v>
      </c>
      <c r="V5" s="820" t="s">
        <v>97</v>
      </c>
    </row>
    <row r="6" spans="1:22" s="10" customFormat="1" ht="151.80000000000001">
      <c r="A6" s="196"/>
      <c r="B6" s="249"/>
      <c r="C6" s="250"/>
      <c r="D6" s="251" t="s">
        <v>98</v>
      </c>
      <c r="E6" s="252" t="s">
        <v>99</v>
      </c>
      <c r="F6" s="252"/>
      <c r="G6" s="253"/>
      <c r="H6" s="253"/>
      <c r="I6" s="253"/>
      <c r="J6" s="251" t="s">
        <v>125</v>
      </c>
      <c r="K6" s="253"/>
      <c r="L6" s="254"/>
      <c r="M6" s="255" t="s">
        <v>100</v>
      </c>
      <c r="N6" s="251" t="s">
        <v>101</v>
      </c>
      <c r="O6" s="251" t="s">
        <v>102</v>
      </c>
      <c r="P6" s="251" t="s">
        <v>103</v>
      </c>
      <c r="Q6" s="251" t="s">
        <v>104</v>
      </c>
      <c r="R6" s="251" t="s">
        <v>105</v>
      </c>
      <c r="S6" s="256" t="s">
        <v>106</v>
      </c>
      <c r="T6" s="823"/>
      <c r="U6" s="823"/>
      <c r="V6" s="821"/>
    </row>
    <row r="7" spans="1:22">
      <c r="A7" s="257">
        <v>1</v>
      </c>
      <c r="B7" s="244" t="s">
        <v>107</v>
      </c>
      <c r="C7" s="594"/>
      <c r="D7" s="454"/>
      <c r="E7" s="454"/>
      <c r="F7" s="454"/>
      <c r="G7" s="454"/>
      <c r="H7" s="454"/>
      <c r="I7" s="454"/>
      <c r="J7" s="454"/>
      <c r="K7" s="454"/>
      <c r="L7" s="456"/>
      <c r="M7" s="594"/>
      <c r="N7" s="454"/>
      <c r="O7" s="454"/>
      <c r="P7" s="454"/>
      <c r="Q7" s="454"/>
      <c r="R7" s="454"/>
      <c r="S7" s="456"/>
      <c r="T7" s="595"/>
      <c r="U7" s="596"/>
      <c r="V7" s="597">
        <f>SUM(C7:S7)</f>
        <v>0</v>
      </c>
    </row>
    <row r="8" spans="1:22">
      <c r="A8" s="257">
        <v>2</v>
      </c>
      <c r="B8" s="244" t="s">
        <v>108</v>
      </c>
      <c r="C8" s="594"/>
      <c r="D8" s="454"/>
      <c r="E8" s="454"/>
      <c r="F8" s="454"/>
      <c r="G8" s="454"/>
      <c r="H8" s="454"/>
      <c r="I8" s="454"/>
      <c r="J8" s="454"/>
      <c r="K8" s="454"/>
      <c r="L8" s="456"/>
      <c r="M8" s="594"/>
      <c r="N8" s="454"/>
      <c r="O8" s="454"/>
      <c r="P8" s="454"/>
      <c r="Q8" s="454"/>
      <c r="R8" s="454"/>
      <c r="S8" s="456"/>
      <c r="T8" s="596"/>
      <c r="U8" s="596"/>
      <c r="V8" s="597">
        <f t="shared" ref="V8:V20" si="0">SUM(C8:S8)</f>
        <v>0</v>
      </c>
    </row>
    <row r="9" spans="1:22">
      <c r="A9" s="257">
        <v>3</v>
      </c>
      <c r="B9" s="244" t="s">
        <v>109</v>
      </c>
      <c r="C9" s="594"/>
      <c r="D9" s="454"/>
      <c r="E9" s="454"/>
      <c r="F9" s="454"/>
      <c r="G9" s="454"/>
      <c r="H9" s="454"/>
      <c r="I9" s="454"/>
      <c r="J9" s="454"/>
      <c r="K9" s="454"/>
      <c r="L9" s="456"/>
      <c r="M9" s="594"/>
      <c r="N9" s="454"/>
      <c r="O9" s="454"/>
      <c r="P9" s="454"/>
      <c r="Q9" s="454"/>
      <c r="R9" s="454"/>
      <c r="S9" s="456"/>
      <c r="T9" s="596"/>
      <c r="U9" s="596"/>
      <c r="V9" s="597">
        <f>SUM(C9:S9)</f>
        <v>0</v>
      </c>
    </row>
    <row r="10" spans="1:22">
      <c r="A10" s="257">
        <v>4</v>
      </c>
      <c r="B10" s="244" t="s">
        <v>110</v>
      </c>
      <c r="C10" s="594"/>
      <c r="D10" s="454"/>
      <c r="E10" s="454"/>
      <c r="F10" s="454"/>
      <c r="G10" s="454"/>
      <c r="H10" s="454"/>
      <c r="I10" s="454"/>
      <c r="J10" s="454"/>
      <c r="K10" s="454"/>
      <c r="L10" s="456"/>
      <c r="M10" s="594"/>
      <c r="N10" s="454"/>
      <c r="O10" s="454"/>
      <c r="P10" s="454"/>
      <c r="Q10" s="454"/>
      <c r="R10" s="454"/>
      <c r="S10" s="456"/>
      <c r="T10" s="596"/>
      <c r="U10" s="596"/>
      <c r="V10" s="597">
        <f t="shared" si="0"/>
        <v>0</v>
      </c>
    </row>
    <row r="11" spans="1:22">
      <c r="A11" s="257">
        <v>5</v>
      </c>
      <c r="B11" s="244" t="s">
        <v>853</v>
      </c>
      <c r="C11" s="594"/>
      <c r="D11" s="454"/>
      <c r="E11" s="454"/>
      <c r="F11" s="454"/>
      <c r="G11" s="454"/>
      <c r="H11" s="454"/>
      <c r="I11" s="454"/>
      <c r="J11" s="454"/>
      <c r="K11" s="454"/>
      <c r="L11" s="456"/>
      <c r="M11" s="594"/>
      <c r="N11" s="454"/>
      <c r="O11" s="454"/>
      <c r="P11" s="454"/>
      <c r="Q11" s="454"/>
      <c r="R11" s="454"/>
      <c r="S11" s="456"/>
      <c r="T11" s="596"/>
      <c r="U11" s="596"/>
      <c r="V11" s="597">
        <f t="shared" si="0"/>
        <v>0</v>
      </c>
    </row>
    <row r="12" spans="1:22">
      <c r="A12" s="257">
        <v>6</v>
      </c>
      <c r="B12" s="244" t="s">
        <v>913</v>
      </c>
      <c r="C12" s="594"/>
      <c r="D12" s="454"/>
      <c r="E12" s="454"/>
      <c r="F12" s="454"/>
      <c r="G12" s="454"/>
      <c r="H12" s="454"/>
      <c r="I12" s="454"/>
      <c r="J12" s="454"/>
      <c r="K12" s="454"/>
      <c r="L12" s="456"/>
      <c r="M12" s="594"/>
      <c r="N12" s="454"/>
      <c r="O12" s="454"/>
      <c r="P12" s="454"/>
      <c r="Q12" s="454"/>
      <c r="R12" s="454"/>
      <c r="S12" s="456"/>
      <c r="T12" s="596"/>
      <c r="U12" s="596"/>
      <c r="V12" s="597">
        <f t="shared" si="0"/>
        <v>0</v>
      </c>
    </row>
    <row r="13" spans="1:22">
      <c r="A13" s="257">
        <v>7</v>
      </c>
      <c r="B13" s="244" t="s">
        <v>64</v>
      </c>
      <c r="C13" s="594"/>
      <c r="D13" s="454"/>
      <c r="E13" s="454"/>
      <c r="F13" s="454"/>
      <c r="G13" s="454"/>
      <c r="H13" s="454"/>
      <c r="I13" s="454"/>
      <c r="J13" s="454"/>
      <c r="K13" s="454"/>
      <c r="L13" s="456"/>
      <c r="M13" s="594"/>
      <c r="N13" s="454"/>
      <c r="O13" s="454"/>
      <c r="P13" s="454"/>
      <c r="Q13" s="454"/>
      <c r="R13" s="454"/>
      <c r="S13" s="456"/>
      <c r="T13" s="596"/>
      <c r="U13" s="596"/>
      <c r="V13" s="597">
        <f t="shared" si="0"/>
        <v>0</v>
      </c>
    </row>
    <row r="14" spans="1:22">
      <c r="A14" s="257">
        <v>8</v>
      </c>
      <c r="B14" s="244" t="s">
        <v>65</v>
      </c>
      <c r="C14" s="594"/>
      <c r="D14" s="454"/>
      <c r="E14" s="454"/>
      <c r="F14" s="454"/>
      <c r="G14" s="454"/>
      <c r="H14" s="454"/>
      <c r="I14" s="454"/>
      <c r="J14" s="454"/>
      <c r="K14" s="454"/>
      <c r="L14" s="456"/>
      <c r="M14" s="594"/>
      <c r="N14" s="454"/>
      <c r="O14" s="454"/>
      <c r="P14" s="454"/>
      <c r="Q14" s="454"/>
      <c r="R14" s="454"/>
      <c r="S14" s="456"/>
      <c r="T14" s="596"/>
      <c r="U14" s="596"/>
      <c r="V14" s="597">
        <f t="shared" si="0"/>
        <v>0</v>
      </c>
    </row>
    <row r="15" spans="1:22">
      <c r="A15" s="257">
        <v>9</v>
      </c>
      <c r="B15" s="244" t="s">
        <v>854</v>
      </c>
      <c r="C15" s="594"/>
      <c r="D15" s="454"/>
      <c r="E15" s="454"/>
      <c r="F15" s="454"/>
      <c r="G15" s="454"/>
      <c r="H15" s="454"/>
      <c r="I15" s="454"/>
      <c r="J15" s="454"/>
      <c r="K15" s="454"/>
      <c r="L15" s="456"/>
      <c r="M15" s="594"/>
      <c r="N15" s="454"/>
      <c r="O15" s="454"/>
      <c r="P15" s="454"/>
      <c r="Q15" s="454"/>
      <c r="R15" s="454"/>
      <c r="S15" s="456"/>
      <c r="T15" s="596"/>
      <c r="U15" s="596"/>
      <c r="V15" s="597">
        <f t="shared" si="0"/>
        <v>0</v>
      </c>
    </row>
    <row r="16" spans="1:22">
      <c r="A16" s="257">
        <v>10</v>
      </c>
      <c r="B16" s="244" t="s">
        <v>60</v>
      </c>
      <c r="C16" s="594"/>
      <c r="D16" s="454"/>
      <c r="E16" s="454"/>
      <c r="F16" s="454"/>
      <c r="G16" s="454"/>
      <c r="H16" s="454"/>
      <c r="I16" s="454"/>
      <c r="J16" s="454"/>
      <c r="K16" s="454"/>
      <c r="L16" s="456"/>
      <c r="M16" s="594"/>
      <c r="N16" s="454"/>
      <c r="O16" s="454"/>
      <c r="P16" s="454"/>
      <c r="Q16" s="454"/>
      <c r="R16" s="454"/>
      <c r="S16" s="456"/>
      <c r="T16" s="596"/>
      <c r="U16" s="596"/>
      <c r="V16" s="597">
        <f t="shared" si="0"/>
        <v>0</v>
      </c>
    </row>
    <row r="17" spans="1:22">
      <c r="A17" s="257">
        <v>11</v>
      </c>
      <c r="B17" s="244" t="s">
        <v>61</v>
      </c>
      <c r="C17" s="594"/>
      <c r="D17" s="454"/>
      <c r="E17" s="454"/>
      <c r="F17" s="454"/>
      <c r="G17" s="454"/>
      <c r="H17" s="454"/>
      <c r="I17" s="454"/>
      <c r="J17" s="454"/>
      <c r="K17" s="454"/>
      <c r="L17" s="456"/>
      <c r="M17" s="594"/>
      <c r="N17" s="454"/>
      <c r="O17" s="454"/>
      <c r="P17" s="454"/>
      <c r="Q17" s="454"/>
      <c r="R17" s="454"/>
      <c r="S17" s="456"/>
      <c r="T17" s="596"/>
      <c r="U17" s="596"/>
      <c r="V17" s="597">
        <f t="shared" si="0"/>
        <v>0</v>
      </c>
    </row>
    <row r="18" spans="1:22">
      <c r="A18" s="257">
        <v>12</v>
      </c>
      <c r="B18" s="244" t="s">
        <v>62</v>
      </c>
      <c r="C18" s="594"/>
      <c r="D18" s="454"/>
      <c r="E18" s="454"/>
      <c r="F18" s="454"/>
      <c r="G18" s="454"/>
      <c r="H18" s="454"/>
      <c r="I18" s="454"/>
      <c r="J18" s="454"/>
      <c r="K18" s="454"/>
      <c r="L18" s="456"/>
      <c r="M18" s="594"/>
      <c r="N18" s="454"/>
      <c r="O18" s="454"/>
      <c r="P18" s="454"/>
      <c r="Q18" s="454"/>
      <c r="R18" s="454"/>
      <c r="S18" s="456"/>
      <c r="T18" s="596"/>
      <c r="U18" s="596"/>
      <c r="V18" s="597">
        <f t="shared" si="0"/>
        <v>0</v>
      </c>
    </row>
    <row r="19" spans="1:22">
      <c r="A19" s="257">
        <v>13</v>
      </c>
      <c r="B19" s="244" t="s">
        <v>63</v>
      </c>
      <c r="C19" s="594"/>
      <c r="D19" s="454"/>
      <c r="E19" s="454"/>
      <c r="F19" s="454"/>
      <c r="G19" s="454"/>
      <c r="H19" s="454"/>
      <c r="I19" s="454"/>
      <c r="J19" s="454"/>
      <c r="K19" s="454"/>
      <c r="L19" s="456"/>
      <c r="M19" s="594"/>
      <c r="N19" s="454"/>
      <c r="O19" s="454"/>
      <c r="P19" s="454"/>
      <c r="Q19" s="454"/>
      <c r="R19" s="454"/>
      <c r="S19" s="456"/>
      <c r="T19" s="596"/>
      <c r="U19" s="596"/>
      <c r="V19" s="597">
        <f t="shared" si="0"/>
        <v>0</v>
      </c>
    </row>
    <row r="20" spans="1:22">
      <c r="A20" s="257">
        <v>14</v>
      </c>
      <c r="B20" s="244" t="s">
        <v>126</v>
      </c>
      <c r="C20" s="594"/>
      <c r="D20" s="454"/>
      <c r="E20" s="454"/>
      <c r="F20" s="454"/>
      <c r="G20" s="454"/>
      <c r="H20" s="454"/>
      <c r="I20" s="454"/>
      <c r="J20" s="454"/>
      <c r="K20" s="454"/>
      <c r="L20" s="456"/>
      <c r="M20" s="594"/>
      <c r="N20" s="454"/>
      <c r="O20" s="454"/>
      <c r="P20" s="454"/>
      <c r="Q20" s="454"/>
      <c r="R20" s="454"/>
      <c r="S20" s="456"/>
      <c r="T20" s="596"/>
      <c r="U20" s="596"/>
      <c r="V20" s="597">
        <f t="shared" si="0"/>
        <v>0</v>
      </c>
    </row>
    <row r="21" spans="1:22" ht="14.4" thickBot="1">
      <c r="A21" s="245"/>
      <c r="B21" s="258" t="s">
        <v>59</v>
      </c>
      <c r="C21" s="598">
        <f>SUM(C7:C20)</f>
        <v>0</v>
      </c>
      <c r="D21" s="599">
        <f t="shared" ref="D21:V21" si="1">SUM(D7:D20)</f>
        <v>0</v>
      </c>
      <c r="E21" s="599">
        <f t="shared" si="1"/>
        <v>0</v>
      </c>
      <c r="F21" s="599">
        <f t="shared" si="1"/>
        <v>0</v>
      </c>
      <c r="G21" s="599">
        <f t="shared" si="1"/>
        <v>0</v>
      </c>
      <c r="H21" s="599">
        <f t="shared" si="1"/>
        <v>0</v>
      </c>
      <c r="I21" s="599">
        <f t="shared" si="1"/>
        <v>0</v>
      </c>
      <c r="J21" s="599">
        <f t="shared" si="1"/>
        <v>0</v>
      </c>
      <c r="K21" s="599">
        <f t="shared" si="1"/>
        <v>0</v>
      </c>
      <c r="L21" s="600">
        <f t="shared" si="1"/>
        <v>0</v>
      </c>
      <c r="M21" s="598">
        <f t="shared" si="1"/>
        <v>0</v>
      </c>
      <c r="N21" s="599">
        <f t="shared" si="1"/>
        <v>0</v>
      </c>
      <c r="O21" s="599">
        <f t="shared" si="1"/>
        <v>0</v>
      </c>
      <c r="P21" s="599">
        <f t="shared" si="1"/>
        <v>0</v>
      </c>
      <c r="Q21" s="599">
        <f t="shared" si="1"/>
        <v>0</v>
      </c>
      <c r="R21" s="599">
        <f t="shared" si="1"/>
        <v>0</v>
      </c>
      <c r="S21" s="600">
        <f t="shared" si="1"/>
        <v>0</v>
      </c>
      <c r="T21" s="600">
        <f>SUM(T7:T20)</f>
        <v>0</v>
      </c>
      <c r="U21" s="600">
        <f t="shared" si="1"/>
        <v>0</v>
      </c>
      <c r="V21" s="601">
        <f t="shared" si="1"/>
        <v>0</v>
      </c>
    </row>
    <row r="24" spans="1:22">
      <c r="C24" s="259"/>
      <c r="D24" s="259"/>
      <c r="E24" s="259"/>
    </row>
    <row r="25" spans="1:22">
      <c r="A25" s="9"/>
      <c r="B25" s="9"/>
      <c r="D25" s="259"/>
      <c r="E25" s="259"/>
    </row>
    <row r="26" spans="1:22">
      <c r="A26" s="9"/>
      <c r="B26" s="260"/>
      <c r="D26" s="259"/>
      <c r="E26" s="259"/>
    </row>
    <row r="27" spans="1:22">
      <c r="A27" s="9"/>
      <c r="B27" s="9"/>
      <c r="D27" s="259"/>
      <c r="E27" s="259"/>
    </row>
    <row r="28" spans="1:22">
      <c r="A28" s="9"/>
      <c r="B28" s="260"/>
      <c r="D28" s="259"/>
      <c r="E28" s="259"/>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8"/>
  <sheetViews>
    <sheetView zoomScale="70" zoomScaleNormal="70" workbookViewId="0">
      <pane xSplit="2" ySplit="7" topLeftCell="C8" activePane="bottomRight" state="frozen"/>
      <selection activeCell="C33" sqref="C33:G33"/>
      <selection pane="topRight" activeCell="C33" sqref="C33:G33"/>
      <selection pane="bottomLeft" activeCell="C33" sqref="C33:G33"/>
      <selection pane="bottomRight" activeCell="C8" sqref="C8:H21"/>
    </sheetView>
  </sheetViews>
  <sheetFormatPr defaultColWidth="9.21875" defaultRowHeight="13.8"/>
  <cols>
    <col min="1" max="1" width="12.21875" style="11" customWidth="1"/>
    <col min="2" max="2" width="101.77734375" style="11" customWidth="1"/>
    <col min="3" max="3" width="16.44140625" style="11" customWidth="1"/>
    <col min="4" max="4" width="14.77734375" style="11" bestFit="1" customWidth="1"/>
    <col min="5" max="5" width="17.77734375" style="11" customWidth="1"/>
    <col min="6" max="6" width="15.77734375" style="11" customWidth="1"/>
    <col min="7" max="7" width="17.44140625" style="11" customWidth="1"/>
    <col min="8" max="8" width="15.21875" style="11" customWidth="1"/>
    <col min="9" max="16384" width="9.21875" style="2"/>
  </cols>
  <sheetData>
    <row r="1" spans="1:9">
      <c r="A1" s="342" t="s">
        <v>869</v>
      </c>
      <c r="B1" s="344" t="str">
        <f>Info!C2</f>
        <v>კრისტალი</v>
      </c>
    </row>
    <row r="2" spans="1:9">
      <c r="A2" s="342" t="s">
        <v>88</v>
      </c>
      <c r="B2" s="343">
        <f>'1. key ratios'!B2</f>
        <v>46022</v>
      </c>
    </row>
    <row r="4" spans="1:9" ht="14.4" thickBot="1">
      <c r="A4" s="11" t="s">
        <v>224</v>
      </c>
      <c r="B4" s="200" t="s">
        <v>255</v>
      </c>
    </row>
    <row r="5" spans="1:9">
      <c r="A5" s="247"/>
      <c r="B5" s="261"/>
      <c r="C5" s="262" t="s">
        <v>0</v>
      </c>
      <c r="D5" s="262" t="s">
        <v>1</v>
      </c>
      <c r="E5" s="262" t="s">
        <v>2</v>
      </c>
      <c r="F5" s="262" t="s">
        <v>3</v>
      </c>
      <c r="G5" s="263" t="s">
        <v>4</v>
      </c>
      <c r="H5" s="264" t="s">
        <v>6</v>
      </c>
      <c r="I5" s="7"/>
    </row>
    <row r="6" spans="1:9" ht="15" customHeight="1">
      <c r="A6" s="241"/>
      <c r="B6" s="265"/>
      <c r="C6" s="815" t="s">
        <v>247</v>
      </c>
      <c r="D6" s="826" t="s">
        <v>268</v>
      </c>
      <c r="E6" s="827"/>
      <c r="F6" s="815" t="s">
        <v>274</v>
      </c>
      <c r="G6" s="815" t="s">
        <v>275</v>
      </c>
      <c r="H6" s="824" t="s">
        <v>249</v>
      </c>
      <c r="I6" s="7"/>
    </row>
    <row r="7" spans="1:9" ht="110.4" customHeight="1">
      <c r="A7" s="241"/>
      <c r="B7" s="265"/>
      <c r="C7" s="816"/>
      <c r="D7" s="266" t="s">
        <v>250</v>
      </c>
      <c r="E7" s="266" t="s">
        <v>248</v>
      </c>
      <c r="F7" s="816"/>
      <c r="G7" s="816"/>
      <c r="H7" s="825"/>
      <c r="I7" s="7"/>
    </row>
    <row r="8" spans="1:9">
      <c r="A8" s="267">
        <v>1</v>
      </c>
      <c r="B8" s="244" t="s">
        <v>107</v>
      </c>
      <c r="C8" s="454">
        <v>16374129.880000001</v>
      </c>
      <c r="D8" s="454"/>
      <c r="E8" s="454"/>
      <c r="F8" s="454">
        <v>0</v>
      </c>
      <c r="G8" s="455">
        <v>0</v>
      </c>
      <c r="H8" s="268">
        <v>0</v>
      </c>
    </row>
    <row r="9" spans="1:9" ht="15" customHeight="1">
      <c r="A9" s="267">
        <v>2</v>
      </c>
      <c r="B9" s="244" t="s">
        <v>108</v>
      </c>
      <c r="C9" s="454"/>
      <c r="D9" s="454"/>
      <c r="E9" s="454"/>
      <c r="F9" s="454"/>
      <c r="G9" s="455"/>
      <c r="H9" s="268" t="s">
        <v>1003</v>
      </c>
    </row>
    <row r="10" spans="1:9">
      <c r="A10" s="267">
        <v>3</v>
      </c>
      <c r="B10" s="244" t="s">
        <v>109</v>
      </c>
      <c r="C10" s="454"/>
      <c r="D10" s="454"/>
      <c r="E10" s="454"/>
      <c r="F10" s="454"/>
      <c r="G10" s="455"/>
      <c r="H10" s="268" t="s">
        <v>1003</v>
      </c>
    </row>
    <row r="11" spans="1:9">
      <c r="A11" s="267">
        <v>4</v>
      </c>
      <c r="B11" s="244" t="s">
        <v>110</v>
      </c>
      <c r="C11" s="454"/>
      <c r="D11" s="454"/>
      <c r="E11" s="454"/>
      <c r="F11" s="454"/>
      <c r="G11" s="455"/>
      <c r="H11" s="268" t="s">
        <v>1003</v>
      </c>
    </row>
    <row r="12" spans="1:9">
      <c r="A12" s="267">
        <v>5</v>
      </c>
      <c r="B12" s="244" t="s">
        <v>853</v>
      </c>
      <c r="C12" s="454"/>
      <c r="D12" s="454"/>
      <c r="E12" s="454"/>
      <c r="F12" s="454"/>
      <c r="G12" s="455"/>
      <c r="H12" s="268" t="s">
        <v>1003</v>
      </c>
    </row>
    <row r="13" spans="1:9">
      <c r="A13" s="267">
        <v>6</v>
      </c>
      <c r="B13" s="244" t="s">
        <v>913</v>
      </c>
      <c r="C13" s="454">
        <v>11610081.810999999</v>
      </c>
      <c r="D13" s="454"/>
      <c r="E13" s="454"/>
      <c r="F13" s="454">
        <v>5874270.0474999994</v>
      </c>
      <c r="G13" s="455">
        <v>5874270.0474999994</v>
      </c>
      <c r="H13" s="268">
        <v>0.50596284704336958</v>
      </c>
    </row>
    <row r="14" spans="1:9">
      <c r="A14" s="267">
        <v>7</v>
      </c>
      <c r="B14" s="244" t="s">
        <v>64</v>
      </c>
      <c r="C14" s="454"/>
      <c r="D14" s="454"/>
      <c r="E14" s="454"/>
      <c r="F14" s="454"/>
      <c r="G14" s="455"/>
      <c r="H14" s="268" t="s">
        <v>1003</v>
      </c>
    </row>
    <row r="15" spans="1:9">
      <c r="A15" s="267">
        <v>8</v>
      </c>
      <c r="B15" s="244" t="s">
        <v>65</v>
      </c>
      <c r="C15" s="454">
        <v>562658040.10956681</v>
      </c>
      <c r="D15" s="454">
        <v>2435483.6339999991</v>
      </c>
      <c r="E15" s="454">
        <v>610070.06168999977</v>
      </c>
      <c r="F15" s="454">
        <v>421993530.08217514</v>
      </c>
      <c r="G15" s="455">
        <v>421993530.08217514</v>
      </c>
      <c r="H15" s="268">
        <v>0.74918768249434831</v>
      </c>
    </row>
    <row r="16" spans="1:9">
      <c r="A16" s="267">
        <v>9</v>
      </c>
      <c r="B16" s="244" t="s">
        <v>854</v>
      </c>
      <c r="C16" s="454"/>
      <c r="D16" s="454"/>
      <c r="E16" s="454"/>
      <c r="F16" s="454"/>
      <c r="G16" s="455"/>
      <c r="H16" s="268" t="s">
        <v>1003</v>
      </c>
    </row>
    <row r="17" spans="1:8">
      <c r="A17" s="267">
        <v>10</v>
      </c>
      <c r="B17" s="244" t="s">
        <v>60</v>
      </c>
      <c r="C17" s="454">
        <v>3241526.3092995947</v>
      </c>
      <c r="D17" s="454"/>
      <c r="E17" s="454"/>
      <c r="F17" s="454">
        <v>3762646.6960017984</v>
      </c>
      <c r="G17" s="455">
        <v>3762646.6960017984</v>
      </c>
      <c r="H17" s="268">
        <v>1.1607638923698274</v>
      </c>
    </row>
    <row r="18" spans="1:8">
      <c r="A18" s="267">
        <v>11</v>
      </c>
      <c r="B18" s="244" t="s">
        <v>61</v>
      </c>
      <c r="C18" s="454"/>
      <c r="D18" s="454"/>
      <c r="E18" s="454"/>
      <c r="F18" s="454"/>
      <c r="G18" s="455"/>
      <c r="H18" s="268" t="s">
        <v>1003</v>
      </c>
    </row>
    <row r="19" spans="1:8">
      <c r="A19" s="267">
        <v>12</v>
      </c>
      <c r="B19" s="244" t="s">
        <v>62</v>
      </c>
      <c r="C19" s="454"/>
      <c r="D19" s="454"/>
      <c r="E19" s="454"/>
      <c r="F19" s="454"/>
      <c r="G19" s="455"/>
      <c r="H19" s="268" t="s">
        <v>1003</v>
      </c>
    </row>
    <row r="20" spans="1:8">
      <c r="A20" s="267">
        <v>13</v>
      </c>
      <c r="B20" s="244" t="s">
        <v>63</v>
      </c>
      <c r="C20" s="454"/>
      <c r="D20" s="454"/>
      <c r="E20" s="454"/>
      <c r="F20" s="454"/>
      <c r="G20" s="455"/>
      <c r="H20" s="268" t="s">
        <v>1003</v>
      </c>
    </row>
    <row r="21" spans="1:8">
      <c r="A21" s="267">
        <v>14</v>
      </c>
      <c r="B21" s="244" t="s">
        <v>126</v>
      </c>
      <c r="C21" s="454">
        <v>68485085.756977677</v>
      </c>
      <c r="D21" s="454"/>
      <c r="E21" s="454"/>
      <c r="F21" s="454">
        <v>39560034.65119268</v>
      </c>
      <c r="G21" s="455">
        <v>39560034.65119268</v>
      </c>
      <c r="H21" s="268">
        <v>0.57764452236466779</v>
      </c>
    </row>
    <row r="22" spans="1:8" ht="14.4" thickBot="1">
      <c r="A22" s="269"/>
      <c r="B22" s="270" t="s">
        <v>59</v>
      </c>
      <c r="C22" s="488">
        <f>SUM(C8:C21)</f>
        <v>662368863.86684406</v>
      </c>
      <c r="D22" s="488">
        <f>SUM(D8:D21)</f>
        <v>2435483.6339999991</v>
      </c>
      <c r="E22" s="488">
        <f>SUM(E8:E21)</f>
        <v>610070.06168999977</v>
      </c>
      <c r="F22" s="488">
        <f>SUM(F8:F21)</f>
        <v>471190481.47686964</v>
      </c>
      <c r="G22" s="488">
        <f>SUM(G8:G21)</f>
        <v>471190481.47686964</v>
      </c>
      <c r="H22" s="489">
        <f t="shared" ref="H22" si="0">IFERROR(G22/(C22+E22),"")</f>
        <v>0.71071712442625168</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zoomScale="70" zoomScaleNormal="70" workbookViewId="0">
      <pane xSplit="2" ySplit="6" topLeftCell="C7" activePane="bottomRight" state="frozen"/>
      <selection activeCell="C33" sqref="C33:G33"/>
      <selection pane="topRight" activeCell="C33" sqref="C33:G33"/>
      <selection pane="bottomLeft" activeCell="C33" sqref="C33:G33"/>
      <selection pane="bottomRight" activeCell="F23" sqref="F23:K25"/>
    </sheetView>
  </sheetViews>
  <sheetFormatPr defaultColWidth="9.21875" defaultRowHeight="13.8"/>
  <cols>
    <col min="1" max="1" width="12.88671875" style="11" customWidth="1"/>
    <col min="2" max="2" width="104.21875" style="11" customWidth="1"/>
    <col min="3" max="11" width="13.88671875" style="11" customWidth="1"/>
    <col min="12" max="16384" width="9.21875" style="1"/>
  </cols>
  <sheetData>
    <row r="1" spans="1:11">
      <c r="A1" s="342" t="s">
        <v>869</v>
      </c>
      <c r="B1" s="344" t="str">
        <f>Info!C2</f>
        <v>კრისტალი</v>
      </c>
    </row>
    <row r="2" spans="1:11">
      <c r="A2" s="342" t="s">
        <v>88</v>
      </c>
      <c r="B2" s="343">
        <f>'1. key ratios'!B2</f>
        <v>46022</v>
      </c>
    </row>
    <row r="4" spans="1:11" ht="14.4" thickBot="1">
      <c r="A4" s="11" t="s">
        <v>308</v>
      </c>
      <c r="B4" s="200" t="s">
        <v>307</v>
      </c>
    </row>
    <row r="5" spans="1:11" ht="30" customHeight="1">
      <c r="A5" s="831"/>
      <c r="B5" s="832"/>
      <c r="C5" s="829" t="s">
        <v>335</v>
      </c>
      <c r="D5" s="829"/>
      <c r="E5" s="829"/>
      <c r="F5" s="829" t="s">
        <v>336</v>
      </c>
      <c r="G5" s="829"/>
      <c r="H5" s="829"/>
      <c r="I5" s="829" t="s">
        <v>337</v>
      </c>
      <c r="J5" s="829"/>
      <c r="K5" s="830"/>
    </row>
    <row r="6" spans="1:11">
      <c r="A6" s="271"/>
      <c r="B6" s="272"/>
      <c r="C6" s="273" t="s">
        <v>26</v>
      </c>
      <c r="D6" s="273" t="s">
        <v>72</v>
      </c>
      <c r="E6" s="273" t="s">
        <v>59</v>
      </c>
      <c r="F6" s="273" t="s">
        <v>26</v>
      </c>
      <c r="G6" s="273" t="s">
        <v>72</v>
      </c>
      <c r="H6" s="273" t="s">
        <v>59</v>
      </c>
      <c r="I6" s="273" t="s">
        <v>26</v>
      </c>
      <c r="J6" s="273" t="s">
        <v>72</v>
      </c>
      <c r="K6" s="274" t="s">
        <v>59</v>
      </c>
    </row>
    <row r="7" spans="1:11">
      <c r="A7" s="275" t="s">
        <v>278</v>
      </c>
      <c r="B7" s="276"/>
      <c r="C7" s="276"/>
      <c r="D7" s="276"/>
      <c r="E7" s="276"/>
      <c r="F7" s="276"/>
      <c r="G7" s="276"/>
      <c r="H7" s="276"/>
      <c r="I7" s="276"/>
      <c r="J7" s="276"/>
      <c r="K7" s="277"/>
    </row>
    <row r="8" spans="1:11">
      <c r="A8" s="278">
        <v>1</v>
      </c>
      <c r="B8" s="279" t="s">
        <v>278</v>
      </c>
      <c r="C8" s="169"/>
      <c r="D8" s="169"/>
      <c r="E8" s="169"/>
      <c r="F8" s="414">
        <v>27588081.38254207</v>
      </c>
      <c r="G8" s="414">
        <v>19620987.893739734</v>
      </c>
      <c r="H8" s="419">
        <f>SUM(F8:G8)</f>
        <v>47209069.276281804</v>
      </c>
      <c r="I8" s="414">
        <v>25707234.139208734</v>
      </c>
      <c r="J8" s="414">
        <v>11658653.943339735</v>
      </c>
      <c r="K8" s="421">
        <f>SUM(I8:J8)</f>
        <v>37365888.082548469</v>
      </c>
    </row>
    <row r="9" spans="1:11">
      <c r="A9" s="275" t="s">
        <v>279</v>
      </c>
      <c r="B9" s="276"/>
      <c r="C9" s="276"/>
      <c r="D9" s="276"/>
      <c r="E9" s="276"/>
      <c r="F9" s="276"/>
      <c r="G9" s="276"/>
      <c r="H9" s="276"/>
      <c r="I9" s="276"/>
      <c r="J9" s="276"/>
      <c r="K9" s="277"/>
    </row>
    <row r="10" spans="1:11">
      <c r="A10" s="280">
        <v>2</v>
      </c>
      <c r="B10" s="281" t="s">
        <v>280</v>
      </c>
      <c r="C10" s="314">
        <v>36780877.623333335</v>
      </c>
      <c r="D10" s="414">
        <v>24942125.715033334</v>
      </c>
      <c r="E10" s="419">
        <f>SUM(C10:D10)</f>
        <v>61723003.338366672</v>
      </c>
      <c r="F10" s="414">
        <v>4996930.9505666662</v>
      </c>
      <c r="G10" s="414">
        <v>3504764.0402406664</v>
      </c>
      <c r="H10" s="419">
        <f>SUM(F10:G10)</f>
        <v>8501694.9908073321</v>
      </c>
      <c r="I10" s="414">
        <v>993067.5471666666</v>
      </c>
      <c r="J10" s="414">
        <v>593728.50088833331</v>
      </c>
      <c r="K10" s="421">
        <f>SUM(I10:J10)</f>
        <v>1586796.0480549999</v>
      </c>
    </row>
    <row r="11" spans="1:11">
      <c r="A11" s="280">
        <v>3</v>
      </c>
      <c r="B11" s="281" t="s">
        <v>281</v>
      </c>
      <c r="C11" s="314">
        <v>188463002.49000001</v>
      </c>
      <c r="D11" s="414">
        <v>263796019.00010005</v>
      </c>
      <c r="E11" s="419">
        <f t="shared" ref="E11:E20" si="0">SUM(C11:D11)</f>
        <v>452259021.49010003</v>
      </c>
      <c r="F11" s="414">
        <v>5755863.2265833328</v>
      </c>
      <c r="G11" s="414">
        <v>4510314.1594925001</v>
      </c>
      <c r="H11" s="419">
        <f t="shared" ref="H11:H15" si="1">SUM(F11:G11)</f>
        <v>10266177.386075832</v>
      </c>
      <c r="I11" s="414">
        <v>5725586.645833333</v>
      </c>
      <c r="J11" s="414">
        <v>4510312.4974250002</v>
      </c>
      <c r="K11" s="421">
        <f t="shared" ref="K11:K15" si="2">SUM(I11:J11)</f>
        <v>10235899.143258333</v>
      </c>
    </row>
    <row r="12" spans="1:11">
      <c r="A12" s="280">
        <v>4</v>
      </c>
      <c r="B12" s="281" t="s">
        <v>282</v>
      </c>
      <c r="C12" s="314">
        <v>0</v>
      </c>
      <c r="D12" s="414">
        <v>0</v>
      </c>
      <c r="E12" s="419">
        <f t="shared" si="0"/>
        <v>0</v>
      </c>
      <c r="F12" s="414">
        <v>0</v>
      </c>
      <c r="G12" s="414">
        <v>0</v>
      </c>
      <c r="H12" s="419">
        <f t="shared" si="1"/>
        <v>0</v>
      </c>
      <c r="I12" s="414">
        <v>0</v>
      </c>
      <c r="J12" s="414">
        <v>0</v>
      </c>
      <c r="K12" s="421">
        <f t="shared" si="2"/>
        <v>0</v>
      </c>
    </row>
    <row r="13" spans="1:11">
      <c r="A13" s="280">
        <v>5</v>
      </c>
      <c r="B13" s="281" t="s">
        <v>283</v>
      </c>
      <c r="C13" s="314">
        <v>22865132.019999996</v>
      </c>
      <c r="D13" s="414">
        <v>53303.267499999994</v>
      </c>
      <c r="E13" s="419">
        <f t="shared" si="0"/>
        <v>22918435.287499994</v>
      </c>
      <c r="F13" s="414">
        <v>1069788.0353333333</v>
      </c>
      <c r="G13" s="414">
        <v>12287.532826666667</v>
      </c>
      <c r="H13" s="419">
        <f t="shared" si="1"/>
        <v>1082075.56816</v>
      </c>
      <c r="I13" s="414">
        <v>715813.78383333329</v>
      </c>
      <c r="J13" s="414">
        <v>5870.127206666667</v>
      </c>
      <c r="K13" s="421">
        <f t="shared" si="2"/>
        <v>721683.91103999992</v>
      </c>
    </row>
    <row r="14" spans="1:11">
      <c r="A14" s="280">
        <v>6</v>
      </c>
      <c r="B14" s="281" t="s">
        <v>298</v>
      </c>
      <c r="C14" s="314">
        <v>0</v>
      </c>
      <c r="D14" s="414">
        <v>0</v>
      </c>
      <c r="E14" s="419">
        <f t="shared" si="0"/>
        <v>0</v>
      </c>
      <c r="F14" s="414">
        <v>0</v>
      </c>
      <c r="G14" s="414">
        <v>0</v>
      </c>
      <c r="H14" s="419">
        <f t="shared" si="1"/>
        <v>0</v>
      </c>
      <c r="I14" s="414">
        <v>0</v>
      </c>
      <c r="J14" s="414">
        <v>0</v>
      </c>
      <c r="K14" s="421">
        <f t="shared" si="2"/>
        <v>0</v>
      </c>
    </row>
    <row r="15" spans="1:11">
      <c r="A15" s="280">
        <v>7</v>
      </c>
      <c r="B15" s="281" t="s">
        <v>285</v>
      </c>
      <c r="C15" s="314">
        <v>992074.82</v>
      </c>
      <c r="D15" s="414">
        <v>571.49186666666662</v>
      </c>
      <c r="E15" s="419">
        <f t="shared" si="0"/>
        <v>992646.31186666666</v>
      </c>
      <c r="F15" s="414">
        <v>206201.17</v>
      </c>
      <c r="G15" s="414">
        <v>0</v>
      </c>
      <c r="H15" s="419">
        <f t="shared" si="1"/>
        <v>206201.17</v>
      </c>
      <c r="I15" s="414">
        <v>206201.17</v>
      </c>
      <c r="J15" s="414">
        <v>0</v>
      </c>
      <c r="K15" s="421">
        <f t="shared" si="2"/>
        <v>206201.17</v>
      </c>
    </row>
    <row r="16" spans="1:11">
      <c r="A16" s="280">
        <v>8</v>
      </c>
      <c r="B16" s="282" t="s">
        <v>286</v>
      </c>
      <c r="C16" s="418">
        <f>SUM(C10:C15)</f>
        <v>249101086.95333332</v>
      </c>
      <c r="D16" s="419">
        <f t="shared" ref="D16:K16" si="3">SUM(D10:D15)</f>
        <v>288792019.4745</v>
      </c>
      <c r="E16" s="419">
        <f t="shared" si="3"/>
        <v>537893106.42783332</v>
      </c>
      <c r="F16" s="419">
        <f t="shared" si="3"/>
        <v>12028783.382483333</v>
      </c>
      <c r="G16" s="419">
        <f t="shared" si="3"/>
        <v>8027365.7325598327</v>
      </c>
      <c r="H16" s="419">
        <f t="shared" si="3"/>
        <v>20056149.115043167</v>
      </c>
      <c r="I16" s="419">
        <f t="shared" si="3"/>
        <v>7640669.1468333332</v>
      </c>
      <c r="J16" s="419">
        <f t="shared" si="3"/>
        <v>5109911.1255200002</v>
      </c>
      <c r="K16" s="421">
        <f t="shared" si="3"/>
        <v>12750580.272353334</v>
      </c>
    </row>
    <row r="17" spans="1:11">
      <c r="A17" s="275" t="s">
        <v>287</v>
      </c>
      <c r="B17" s="276"/>
      <c r="C17" s="416"/>
      <c r="D17" s="416"/>
      <c r="E17" s="416"/>
      <c r="F17" s="416"/>
      <c r="G17" s="416"/>
      <c r="H17" s="416"/>
      <c r="I17" s="416"/>
      <c r="J17" s="416"/>
      <c r="K17" s="417"/>
    </row>
    <row r="18" spans="1:11">
      <c r="A18" s="280">
        <v>9</v>
      </c>
      <c r="B18" s="281" t="s">
        <v>288</v>
      </c>
      <c r="C18" s="314">
        <v>0</v>
      </c>
      <c r="D18" s="414">
        <v>0</v>
      </c>
      <c r="E18" s="419">
        <f t="shared" si="0"/>
        <v>0</v>
      </c>
      <c r="F18" s="414">
        <v>0</v>
      </c>
      <c r="G18" s="414">
        <v>0</v>
      </c>
      <c r="H18" s="419">
        <f t="shared" ref="H18:H20" si="4">SUM(F18:G18)</f>
        <v>0</v>
      </c>
      <c r="I18" s="414">
        <v>0</v>
      </c>
      <c r="J18" s="414">
        <v>0</v>
      </c>
      <c r="K18" s="415">
        <f t="shared" ref="K18:K20" si="5">SUM(I18:J18)</f>
        <v>0</v>
      </c>
    </row>
    <row r="19" spans="1:11">
      <c r="A19" s="280">
        <v>10</v>
      </c>
      <c r="B19" s="281" t="s">
        <v>289</v>
      </c>
      <c r="C19" s="314">
        <v>533031609.87370557</v>
      </c>
      <c r="D19" s="414">
        <v>856350.84519999987</v>
      </c>
      <c r="E19" s="419">
        <f t="shared" si="0"/>
        <v>533887960.71890557</v>
      </c>
      <c r="F19" s="414">
        <v>23708157.834489267</v>
      </c>
      <c r="G19" s="414">
        <v>6005.9168500000005</v>
      </c>
      <c r="H19" s="419">
        <f t="shared" si="4"/>
        <v>23714163.751339268</v>
      </c>
      <c r="I19" s="414">
        <v>25589005.077822596</v>
      </c>
      <c r="J19" s="414">
        <v>7968339.8672499992</v>
      </c>
      <c r="K19" s="415">
        <f t="shared" si="5"/>
        <v>33557344.945072591</v>
      </c>
    </row>
    <row r="20" spans="1:11">
      <c r="A20" s="280">
        <v>11</v>
      </c>
      <c r="B20" s="281" t="s">
        <v>290</v>
      </c>
      <c r="C20" s="314">
        <v>1442829.5466666669</v>
      </c>
      <c r="D20" s="414">
        <v>27241.233833333332</v>
      </c>
      <c r="E20" s="419">
        <f t="shared" si="0"/>
        <v>1470070.7805000001</v>
      </c>
      <c r="F20" s="414">
        <v>53082.950000000004</v>
      </c>
      <c r="G20" s="414">
        <v>0</v>
      </c>
      <c r="H20" s="419">
        <f t="shared" si="4"/>
        <v>53082.950000000004</v>
      </c>
      <c r="I20" s="414">
        <v>53082.950000000004</v>
      </c>
      <c r="J20" s="414">
        <v>0</v>
      </c>
      <c r="K20" s="415">
        <f t="shared" si="5"/>
        <v>53082.950000000004</v>
      </c>
    </row>
    <row r="21" spans="1:11" ht="14.4" thickBot="1">
      <c r="A21" s="283">
        <v>12</v>
      </c>
      <c r="B21" s="284" t="s">
        <v>291</v>
      </c>
      <c r="C21" s="422">
        <f>SUM(C18:C20)</f>
        <v>534474439.42037225</v>
      </c>
      <c r="D21" s="423">
        <f t="shared" ref="D21:K21" si="6">SUM(D18:D20)</f>
        <v>883592.07903333323</v>
      </c>
      <c r="E21" s="422">
        <f t="shared" si="6"/>
        <v>535358031.49940556</v>
      </c>
      <c r="F21" s="423">
        <f t="shared" si="6"/>
        <v>23761240.784489267</v>
      </c>
      <c r="G21" s="423">
        <f t="shared" si="6"/>
        <v>6005.9168500000005</v>
      </c>
      <c r="H21" s="423">
        <f t="shared" si="6"/>
        <v>23767246.701339267</v>
      </c>
      <c r="I21" s="423">
        <f t="shared" si="6"/>
        <v>25642088.027822595</v>
      </c>
      <c r="J21" s="423">
        <f t="shared" si="6"/>
        <v>7968339.8672499992</v>
      </c>
      <c r="K21" s="424">
        <f t="shared" si="6"/>
        <v>33610427.895072594</v>
      </c>
    </row>
    <row r="22" spans="1:11" ht="38.25" customHeight="1" thickBot="1">
      <c r="A22" s="285"/>
      <c r="B22" s="286"/>
      <c r="C22" s="286"/>
      <c r="D22" s="286"/>
      <c r="E22" s="286"/>
      <c r="F22" s="828" t="s">
        <v>292</v>
      </c>
      <c r="G22" s="829"/>
      <c r="H22" s="829"/>
      <c r="I22" s="828" t="s">
        <v>293</v>
      </c>
      <c r="J22" s="829"/>
      <c r="K22" s="830"/>
    </row>
    <row r="23" spans="1:11">
      <c r="A23" s="287">
        <v>13</v>
      </c>
      <c r="B23" s="288" t="s">
        <v>278</v>
      </c>
      <c r="C23" s="289"/>
      <c r="D23" s="289"/>
      <c r="E23" s="289"/>
      <c r="F23" s="425">
        <f>F8</f>
        <v>27588081.38254207</v>
      </c>
      <c r="G23" s="425">
        <f>G8</f>
        <v>19620987.893739734</v>
      </c>
      <c r="H23" s="425">
        <f t="shared" ref="H23" si="7">SUM(F23:G23)</f>
        <v>47209069.276281804</v>
      </c>
      <c r="I23" s="425">
        <f>I8</f>
        <v>25707234.139208734</v>
      </c>
      <c r="J23" s="425">
        <f>J8</f>
        <v>11658653.943339735</v>
      </c>
      <c r="K23" s="426">
        <f t="shared" ref="K23" si="8">SUM(I23:J23)</f>
        <v>37365888.082548469</v>
      </c>
    </row>
    <row r="24" spans="1:11" ht="14.4" thickBot="1">
      <c r="A24" s="290">
        <v>14</v>
      </c>
      <c r="B24" s="291" t="s">
        <v>294</v>
      </c>
      <c r="C24" s="292"/>
      <c r="D24" s="293"/>
      <c r="E24" s="294"/>
      <c r="F24" s="427">
        <f t="shared" ref="F24:K24" si="9">MAX(F16-F21,F16*0.25)</f>
        <v>3007195.8456208333</v>
      </c>
      <c r="G24" s="427">
        <f t="shared" si="9"/>
        <v>8021359.8157098331</v>
      </c>
      <c r="H24" s="427">
        <f t="shared" si="9"/>
        <v>5014037.2787607918</v>
      </c>
      <c r="I24" s="427">
        <f t="shared" si="9"/>
        <v>1910167.2867083333</v>
      </c>
      <c r="J24" s="427">
        <f t="shared" si="9"/>
        <v>1277477.7813800001</v>
      </c>
      <c r="K24" s="428">
        <f t="shared" si="9"/>
        <v>3187645.0680883336</v>
      </c>
    </row>
    <row r="25" spans="1:11" ht="14.4" thickBot="1">
      <c r="A25" s="295">
        <v>15</v>
      </c>
      <c r="B25" s="296" t="s">
        <v>295</v>
      </c>
      <c r="C25" s="297"/>
      <c r="D25" s="297"/>
      <c r="E25" s="297"/>
      <c r="F25" s="703">
        <f>F23/F24</f>
        <v>9.1740221784080482</v>
      </c>
      <c r="G25" s="703">
        <f t="shared" ref="G25:H25" si="10">G23/G24</f>
        <v>2.4460924761549818</v>
      </c>
      <c r="H25" s="703">
        <f t="shared" si="10"/>
        <v>9.4153805908577972</v>
      </c>
      <c r="I25" s="703">
        <f>I23/I24</f>
        <v>13.458106165930804</v>
      </c>
      <c r="J25" s="703">
        <f t="shared" ref="J25:K25" si="11">J23/J24</f>
        <v>9.1263066280068141</v>
      </c>
      <c r="K25" s="704">
        <f t="shared" si="11"/>
        <v>11.72209806437365</v>
      </c>
    </row>
    <row r="28" spans="1:11" s="152" customFormat="1" ht="41.4">
      <c r="A28" s="298"/>
      <c r="B28" s="299" t="s">
        <v>942</v>
      </c>
      <c r="C28" s="298"/>
      <c r="D28" s="298"/>
      <c r="E28" s="298"/>
      <c r="F28" s="298"/>
      <c r="G28" s="298"/>
      <c r="H28" s="298"/>
      <c r="I28" s="298"/>
      <c r="J28" s="298"/>
      <c r="K28" s="298"/>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2"/>
  <sheetViews>
    <sheetView zoomScale="70" zoomScaleNormal="70" workbookViewId="0">
      <pane xSplit="2" ySplit="9" topLeftCell="C10" activePane="bottomRight" state="frozen"/>
      <selection activeCell="C33" sqref="C33:G33"/>
      <selection pane="topRight" activeCell="C33" sqref="C33:G33"/>
      <selection pane="bottomLeft" activeCell="C33" sqref="C33:G33"/>
      <selection pane="bottomRight" activeCell="J10" sqref="J10:P33"/>
    </sheetView>
  </sheetViews>
  <sheetFormatPr defaultColWidth="9.21875" defaultRowHeight="13.8"/>
  <cols>
    <col min="1" max="1" width="15.33203125" style="9" bestFit="1" customWidth="1"/>
    <col min="2" max="2" width="81" style="9" customWidth="1"/>
    <col min="3" max="3" width="18.6640625" style="9" customWidth="1"/>
    <col min="4" max="9" width="15.77734375" style="9" customWidth="1"/>
    <col min="10" max="14" width="12.33203125" style="9" customWidth="1"/>
    <col min="15" max="15" width="12.77734375" style="403" bestFit="1" customWidth="1"/>
    <col min="16" max="16" width="12.33203125" style="403" customWidth="1"/>
    <col min="17" max="17" width="18.21875" style="403" customWidth="1"/>
    <col min="18" max="16384" width="9.21875" style="404"/>
  </cols>
  <sheetData>
    <row r="1" spans="1:17">
      <c r="A1" s="342" t="s">
        <v>869</v>
      </c>
      <c r="B1" s="344" t="str">
        <f>Info!C2</f>
        <v>კრისტალი</v>
      </c>
    </row>
    <row r="2" spans="1:17" ht="14.25" customHeight="1">
      <c r="A2" s="342" t="s">
        <v>88</v>
      </c>
      <c r="B2" s="343">
        <f>'1. key ratios'!B2</f>
        <v>46022</v>
      </c>
    </row>
    <row r="3" spans="1:17">
      <c r="B3" s="403"/>
      <c r="C3" s="403"/>
      <c r="D3" s="403"/>
      <c r="E3" s="403"/>
      <c r="F3" s="403"/>
      <c r="G3" s="403"/>
      <c r="H3" s="403"/>
      <c r="I3" s="403"/>
      <c r="J3" s="403"/>
      <c r="K3" s="403"/>
      <c r="L3" s="403"/>
      <c r="M3" s="403"/>
      <c r="N3" s="403"/>
    </row>
    <row r="4" spans="1:17" ht="14.4">
      <c r="B4" s="401" t="s">
        <v>894</v>
      </c>
      <c r="C4" s="403"/>
      <c r="D4" s="403"/>
      <c r="E4" s="403"/>
      <c r="F4" s="403"/>
      <c r="G4" s="403"/>
      <c r="H4" s="403"/>
      <c r="I4" s="403"/>
      <c r="J4" s="403"/>
      <c r="K4" s="403"/>
      <c r="L4" s="403"/>
      <c r="M4" s="403"/>
      <c r="N4" s="403"/>
    </row>
    <row r="5" spans="1:17" ht="86.4">
      <c r="B5" s="402" t="s">
        <v>871</v>
      </c>
      <c r="C5" s="300" t="s">
        <v>872</v>
      </c>
      <c r="D5" s="300" t="s">
        <v>873</v>
      </c>
      <c r="E5" s="300" t="s">
        <v>874</v>
      </c>
      <c r="F5" s="300" t="s">
        <v>875</v>
      </c>
      <c r="G5" s="300" t="s">
        <v>876</v>
      </c>
      <c r="H5" s="300" t="s">
        <v>945</v>
      </c>
      <c r="I5" s="301" t="s">
        <v>877</v>
      </c>
      <c r="J5" s="302">
        <v>0.02</v>
      </c>
      <c r="K5" s="302">
        <v>0.2</v>
      </c>
      <c r="L5" s="302">
        <v>0.35</v>
      </c>
      <c r="M5" s="302">
        <v>0.5</v>
      </c>
      <c r="N5" s="302">
        <v>0.75</v>
      </c>
      <c r="O5" s="302">
        <v>1</v>
      </c>
      <c r="P5" s="302">
        <v>1.5</v>
      </c>
      <c r="Q5" s="303" t="s">
        <v>66</v>
      </c>
    </row>
    <row r="6" spans="1:17" ht="14.4">
      <c r="B6" s="405"/>
      <c r="C6" s="408">
        <f>IF(C7&gt;0,C7,IF(C8&gt;0,C8,IF(C9&gt;0,C9,0)))</f>
        <v>286186623.91600001</v>
      </c>
      <c r="D6" s="408">
        <f t="shared" ref="D6:G6" si="0">IF(D7&gt;0,D7,IF(D8&gt;0,D8,IF(D9&gt;0,D9,0)))</f>
        <v>0</v>
      </c>
      <c r="E6" s="408">
        <f t="shared" si="0"/>
        <v>0</v>
      </c>
      <c r="F6" s="408">
        <f t="shared" si="0"/>
        <v>390257.03300720721</v>
      </c>
      <c r="G6" s="408">
        <f t="shared" si="0"/>
        <v>2614090.9306618497</v>
      </c>
      <c r="H6" s="406"/>
      <c r="I6" s="408">
        <f t="shared" ref="I6:P6" si="1">IF(I7&gt;0,I7,IF(I8&gt;0,I8,IF(I9&gt;0,I9,0)))</f>
        <v>4206087.1491366792</v>
      </c>
      <c r="J6" s="408">
        <f t="shared" si="1"/>
        <v>0</v>
      </c>
      <c r="K6" s="408">
        <f t="shared" si="1"/>
        <v>0</v>
      </c>
      <c r="L6" s="408">
        <f t="shared" si="1"/>
        <v>0</v>
      </c>
      <c r="M6" s="408">
        <f t="shared" si="1"/>
        <v>197138.5340517124</v>
      </c>
      <c r="N6" s="408">
        <f t="shared" si="1"/>
        <v>0</v>
      </c>
      <c r="O6" s="408">
        <f t="shared" si="1"/>
        <v>4008948.6150849662</v>
      </c>
      <c r="P6" s="408">
        <f t="shared" si="1"/>
        <v>0</v>
      </c>
      <c r="Q6" s="408">
        <f t="shared" ref="Q6" si="2">IF(Q7&gt;0,Q7,IF(Q8&gt;0,Q8,IF(Q9&gt;0,Q9)))</f>
        <v>4107517.8821108225</v>
      </c>
    </row>
    <row r="7" spans="1:17" ht="14.4">
      <c r="B7" s="407" t="s">
        <v>878</v>
      </c>
      <c r="C7" s="408">
        <f>C11+C15+C19+C23+C27+C31</f>
        <v>286186623.91600001</v>
      </c>
      <c r="D7" s="408">
        <f t="shared" ref="D7:G7" si="3">D11+D15+D19+D23+D27+D31</f>
        <v>-12813252.989932658</v>
      </c>
      <c r="E7" s="408">
        <f t="shared" si="3"/>
        <v>0</v>
      </c>
      <c r="F7" s="408">
        <f t="shared" si="3"/>
        <v>390257.03300720721</v>
      </c>
      <c r="G7" s="408">
        <f t="shared" si="3"/>
        <v>2614090.9306618497</v>
      </c>
      <c r="H7" s="409">
        <v>1.4</v>
      </c>
      <c r="I7" s="410">
        <f t="shared" ref="I7:I33" si="4">(F7+G7)*H7</f>
        <v>4206087.1491366792</v>
      </c>
      <c r="J7" s="408">
        <f>J11+J15+J19+J23+J27+J31</f>
        <v>0</v>
      </c>
      <c r="K7" s="408">
        <f t="shared" ref="J7:Q9" si="5">K11+K15+K19+K23+K27+K31</f>
        <v>0</v>
      </c>
      <c r="L7" s="408">
        <f t="shared" si="5"/>
        <v>0</v>
      </c>
      <c r="M7" s="408">
        <f t="shared" si="5"/>
        <v>197138.5340517124</v>
      </c>
      <c r="N7" s="408">
        <f t="shared" si="5"/>
        <v>0</v>
      </c>
      <c r="O7" s="408">
        <f t="shared" si="5"/>
        <v>4008948.6150849662</v>
      </c>
      <c r="P7" s="408">
        <f t="shared" si="5"/>
        <v>0</v>
      </c>
      <c r="Q7" s="408">
        <f>Q11+Q15+Q19+Q23+Q27+Q31</f>
        <v>4107517.8821108225</v>
      </c>
    </row>
    <row r="8" spans="1:17" ht="14.4">
      <c r="B8" s="407" t="s">
        <v>879</v>
      </c>
      <c r="C8" s="408">
        <f>C12+C16+C20+C24+C28+C32</f>
        <v>0</v>
      </c>
      <c r="D8" s="408">
        <f t="shared" ref="D8:G8" si="6">D12+D16+D20+D24+D28+D32</f>
        <v>0</v>
      </c>
      <c r="E8" s="408">
        <f t="shared" si="6"/>
        <v>0</v>
      </c>
      <c r="F8" s="408">
        <f t="shared" si="6"/>
        <v>0</v>
      </c>
      <c r="G8" s="408">
        <f t="shared" si="6"/>
        <v>0</v>
      </c>
      <c r="H8" s="409">
        <v>1.4</v>
      </c>
      <c r="I8" s="410">
        <f t="shared" si="4"/>
        <v>0</v>
      </c>
      <c r="J8" s="408">
        <f t="shared" si="5"/>
        <v>0</v>
      </c>
      <c r="K8" s="408">
        <f t="shared" si="5"/>
        <v>0</v>
      </c>
      <c r="L8" s="408">
        <f t="shared" si="5"/>
        <v>0</v>
      </c>
      <c r="M8" s="408">
        <f t="shared" si="5"/>
        <v>0</v>
      </c>
      <c r="N8" s="408">
        <f t="shared" si="5"/>
        <v>0</v>
      </c>
      <c r="O8" s="408">
        <f t="shared" si="5"/>
        <v>0</v>
      </c>
      <c r="P8" s="408">
        <f t="shared" si="5"/>
        <v>0</v>
      </c>
      <c r="Q8" s="408">
        <f>Q12+Q16+Q20+Q24+Q28+Q32</f>
        <v>0</v>
      </c>
    </row>
    <row r="9" spans="1:17" ht="14.4">
      <c r="B9" s="407" t="s">
        <v>880</v>
      </c>
      <c r="C9" s="408">
        <f>C13+C17+C21+C25+C29+C33</f>
        <v>0</v>
      </c>
      <c r="D9" s="408">
        <f t="shared" ref="D9:G9" si="7">D13+D17+D21+D25+D29+D33</f>
        <v>0</v>
      </c>
      <c r="E9" s="408">
        <f t="shared" si="7"/>
        <v>0</v>
      </c>
      <c r="F9" s="408">
        <f t="shared" si="7"/>
        <v>0</v>
      </c>
      <c r="G9" s="408">
        <f t="shared" si="7"/>
        <v>0</v>
      </c>
      <c r="H9" s="409">
        <v>1.4</v>
      </c>
      <c r="I9" s="410">
        <f t="shared" si="4"/>
        <v>0</v>
      </c>
      <c r="J9" s="408">
        <f t="shared" si="5"/>
        <v>0</v>
      </c>
      <c r="K9" s="408">
        <f t="shared" si="5"/>
        <v>0</v>
      </c>
      <c r="L9" s="408">
        <f t="shared" si="5"/>
        <v>0</v>
      </c>
      <c r="M9" s="408">
        <f t="shared" si="5"/>
        <v>0</v>
      </c>
      <c r="N9" s="408">
        <f t="shared" si="5"/>
        <v>0</v>
      </c>
      <c r="O9" s="408">
        <f t="shared" si="5"/>
        <v>0</v>
      </c>
      <c r="P9" s="408">
        <f t="shared" si="5"/>
        <v>0</v>
      </c>
      <c r="Q9" s="408">
        <f t="shared" si="5"/>
        <v>0</v>
      </c>
    </row>
    <row r="10" spans="1:17" ht="14.4">
      <c r="B10" s="304" t="s">
        <v>881</v>
      </c>
      <c r="C10" s="779"/>
      <c r="D10" s="779"/>
      <c r="E10" s="779"/>
      <c r="F10" s="779"/>
      <c r="G10" s="779"/>
      <c r="H10" s="409">
        <v>1.4</v>
      </c>
      <c r="I10" s="410">
        <f t="shared" si="4"/>
        <v>0</v>
      </c>
      <c r="J10" s="779"/>
      <c r="K10" s="779"/>
      <c r="L10" s="779"/>
      <c r="M10" s="779"/>
      <c r="N10" s="779"/>
      <c r="O10" s="779"/>
      <c r="P10" s="779"/>
      <c r="Q10" s="408">
        <f>SUM(Q11:Q13)</f>
        <v>0</v>
      </c>
    </row>
    <row r="11" spans="1:17" ht="14.4">
      <c r="B11" s="411" t="s">
        <v>878</v>
      </c>
      <c r="C11" s="779"/>
      <c r="D11" s="779"/>
      <c r="E11" s="779"/>
      <c r="F11" s="779"/>
      <c r="G11" s="779"/>
      <c r="H11" s="409">
        <v>1.4</v>
      </c>
      <c r="I11" s="410">
        <f t="shared" si="4"/>
        <v>0</v>
      </c>
      <c r="J11" s="779"/>
      <c r="K11" s="779"/>
      <c r="L11" s="779"/>
      <c r="M11" s="779"/>
      <c r="N11" s="779"/>
      <c r="O11" s="779"/>
      <c r="P11" s="779"/>
      <c r="Q11" s="408">
        <f>SUMPRODUCT($J$5:$P$5,J11:P11)</f>
        <v>0</v>
      </c>
    </row>
    <row r="12" spans="1:17" ht="14.4">
      <c r="B12" s="411" t="s">
        <v>879</v>
      </c>
      <c r="C12" s="779"/>
      <c r="D12" s="779"/>
      <c r="E12" s="779"/>
      <c r="F12" s="779"/>
      <c r="G12" s="779"/>
      <c r="H12" s="409">
        <v>1.4</v>
      </c>
      <c r="I12" s="410">
        <f t="shared" si="4"/>
        <v>0</v>
      </c>
      <c r="J12" s="779"/>
      <c r="K12" s="779"/>
      <c r="L12" s="779"/>
      <c r="M12" s="779"/>
      <c r="N12" s="779"/>
      <c r="O12" s="779"/>
      <c r="P12" s="779"/>
      <c r="Q12" s="408">
        <f t="shared" ref="Q12:Q13" si="8">SUMPRODUCT($J$5:$P$5,J12:P12)</f>
        <v>0</v>
      </c>
    </row>
    <row r="13" spans="1:17" ht="14.4">
      <c r="B13" s="411" t="s">
        <v>880</v>
      </c>
      <c r="C13" s="779"/>
      <c r="D13" s="779"/>
      <c r="E13" s="779"/>
      <c r="F13" s="779"/>
      <c r="G13" s="779"/>
      <c r="H13" s="409">
        <v>1.4</v>
      </c>
      <c r="I13" s="410">
        <f t="shared" si="4"/>
        <v>0</v>
      </c>
      <c r="J13" s="779"/>
      <c r="K13" s="779"/>
      <c r="L13" s="779"/>
      <c r="M13" s="779"/>
      <c r="N13" s="779"/>
      <c r="O13" s="779"/>
      <c r="P13" s="779"/>
      <c r="Q13" s="408">
        <f t="shared" si="8"/>
        <v>0</v>
      </c>
    </row>
    <row r="14" spans="1:17" ht="14.4">
      <c r="B14" s="304" t="s">
        <v>882</v>
      </c>
      <c r="C14" s="779"/>
      <c r="D14" s="779"/>
      <c r="E14" s="779"/>
      <c r="F14" s="779"/>
      <c r="G14" s="779"/>
      <c r="H14" s="409">
        <v>1.4</v>
      </c>
      <c r="I14" s="410">
        <f t="shared" si="4"/>
        <v>0</v>
      </c>
      <c r="J14" s="779"/>
      <c r="K14" s="779"/>
      <c r="L14" s="779"/>
      <c r="M14" s="779"/>
      <c r="N14" s="779"/>
      <c r="O14" s="779"/>
      <c r="P14" s="779"/>
      <c r="Q14" s="408">
        <f>SUM(Q15:Q17)</f>
        <v>0</v>
      </c>
    </row>
    <row r="15" spans="1:17" ht="14.4">
      <c r="B15" s="411" t="s">
        <v>878</v>
      </c>
      <c r="C15" s="779"/>
      <c r="D15" s="779"/>
      <c r="E15" s="779"/>
      <c r="F15" s="779"/>
      <c r="G15" s="779"/>
      <c r="H15" s="409">
        <v>1.4</v>
      </c>
      <c r="I15" s="410">
        <f t="shared" si="4"/>
        <v>0</v>
      </c>
      <c r="J15" s="779"/>
      <c r="K15" s="779"/>
      <c r="L15" s="779"/>
      <c r="M15" s="779"/>
      <c r="N15" s="779"/>
      <c r="O15" s="779"/>
      <c r="P15" s="779"/>
      <c r="Q15" s="408">
        <f>SUMPRODUCT($J$5:$P$5,J15:P15)</f>
        <v>0</v>
      </c>
    </row>
    <row r="16" spans="1:17" ht="14.4">
      <c r="B16" s="411" t="s">
        <v>879</v>
      </c>
      <c r="C16" s="779"/>
      <c r="D16" s="779"/>
      <c r="E16" s="779"/>
      <c r="F16" s="779"/>
      <c r="G16" s="779"/>
      <c r="H16" s="409">
        <v>1.4</v>
      </c>
      <c r="I16" s="410">
        <f t="shared" si="4"/>
        <v>0</v>
      </c>
      <c r="J16" s="779"/>
      <c r="K16" s="779"/>
      <c r="L16" s="779"/>
      <c r="M16" s="779"/>
      <c r="N16" s="779"/>
      <c r="O16" s="779"/>
      <c r="P16" s="779"/>
      <c r="Q16" s="408">
        <f t="shared" ref="Q16:Q17" si="9">SUMPRODUCT($J$5:$P$5,J16:P16)</f>
        <v>0</v>
      </c>
    </row>
    <row r="17" spans="2:17" ht="14.4">
      <c r="B17" s="411" t="s">
        <v>880</v>
      </c>
      <c r="C17" s="779"/>
      <c r="D17" s="779"/>
      <c r="E17" s="779"/>
      <c r="F17" s="779"/>
      <c r="G17" s="779"/>
      <c r="H17" s="409">
        <v>1.4</v>
      </c>
      <c r="I17" s="410">
        <f t="shared" si="4"/>
        <v>0</v>
      </c>
      <c r="J17" s="779"/>
      <c r="K17" s="779"/>
      <c r="L17" s="779"/>
      <c r="M17" s="779"/>
      <c r="N17" s="779"/>
      <c r="O17" s="779"/>
      <c r="P17" s="779"/>
      <c r="Q17" s="408">
        <f t="shared" si="9"/>
        <v>0</v>
      </c>
    </row>
    <row r="18" spans="2:17" ht="14.4">
      <c r="B18" s="304" t="s">
        <v>883</v>
      </c>
      <c r="C18" s="780">
        <f>IF(C19&gt;0,C19,IF(C20&gt;0,C20,IF(C21&gt;0,C21,0)))</f>
        <v>286186623.91600001</v>
      </c>
      <c r="D18" s="780">
        <f>IF(D19&gt;0,D19,IF(D20&gt;0,D20,IF(D21&gt;0,D21,0)))</f>
        <v>0</v>
      </c>
      <c r="E18" s="780">
        <f>IF(E19&gt;0,E19,IF(E20&gt;0,E20,IF(E21&gt;0,E21,0)))</f>
        <v>0</v>
      </c>
      <c r="F18" s="780">
        <f>IF(F19&gt;0,F19,IF(F20&gt;0,F20,IF(F21&gt;0,F21,0)))</f>
        <v>390257.03300720721</v>
      </c>
      <c r="G18" s="780">
        <f>IF(G19&gt;0,G19,IF(G20&gt;0,G20,IF(G21&gt;0,G21,0)))</f>
        <v>2614090.9306618497</v>
      </c>
      <c r="H18" s="409">
        <v>1.4</v>
      </c>
      <c r="I18" s="410">
        <f t="shared" si="4"/>
        <v>4206087.1491366792</v>
      </c>
      <c r="J18" s="779"/>
      <c r="K18" s="779"/>
      <c r="L18" s="779"/>
      <c r="M18" s="779"/>
      <c r="N18" s="779"/>
      <c r="O18" s="779"/>
      <c r="P18" s="779"/>
      <c r="Q18" s="408">
        <f>SUM(Q19:Q21)</f>
        <v>4107517.8821108225</v>
      </c>
    </row>
    <row r="19" spans="2:17" ht="14.4">
      <c r="B19" s="411" t="s">
        <v>878</v>
      </c>
      <c r="C19" s="779">
        <v>286186623.91600001</v>
      </c>
      <c r="D19" s="779">
        <v>-12813252.989932658</v>
      </c>
      <c r="E19" s="779">
        <v>0</v>
      </c>
      <c r="F19" s="779">
        <v>390257.03300720721</v>
      </c>
      <c r="G19" s="779">
        <v>2614090.9306618497</v>
      </c>
      <c r="H19" s="409">
        <v>1.4</v>
      </c>
      <c r="I19" s="410">
        <f t="shared" si="4"/>
        <v>4206087.1491366792</v>
      </c>
      <c r="J19" s="779"/>
      <c r="K19" s="779"/>
      <c r="L19" s="779"/>
      <c r="M19" s="779">
        <v>197138.5340517124</v>
      </c>
      <c r="N19" s="779"/>
      <c r="O19" s="779">
        <v>4008948.6150849662</v>
      </c>
      <c r="P19" s="779"/>
      <c r="Q19" s="408">
        <f t="shared" ref="Q19:Q21" si="10">SUMPRODUCT($J$5:$P$5,J19:P19)</f>
        <v>4107517.8821108225</v>
      </c>
    </row>
    <row r="20" spans="2:17" ht="14.4">
      <c r="B20" s="411" t="s">
        <v>879</v>
      </c>
      <c r="C20" s="779"/>
      <c r="D20" s="779"/>
      <c r="E20" s="779"/>
      <c r="F20" s="779"/>
      <c r="G20" s="779"/>
      <c r="H20" s="409">
        <v>1.4</v>
      </c>
      <c r="I20" s="410">
        <f t="shared" si="4"/>
        <v>0</v>
      </c>
      <c r="J20" s="779"/>
      <c r="K20" s="779"/>
      <c r="L20" s="779"/>
      <c r="M20" s="779"/>
      <c r="N20" s="779"/>
      <c r="O20" s="779"/>
      <c r="P20" s="779"/>
      <c r="Q20" s="408">
        <f t="shared" si="10"/>
        <v>0</v>
      </c>
    </row>
    <row r="21" spans="2:17" ht="14.4">
      <c r="B21" s="411" t="s">
        <v>880</v>
      </c>
      <c r="C21" s="779"/>
      <c r="D21" s="779"/>
      <c r="E21" s="779"/>
      <c r="F21" s="779"/>
      <c r="G21" s="779"/>
      <c r="H21" s="409">
        <v>1.4</v>
      </c>
      <c r="I21" s="410">
        <f t="shared" si="4"/>
        <v>0</v>
      </c>
      <c r="J21" s="779"/>
      <c r="K21" s="779"/>
      <c r="L21" s="779"/>
      <c r="M21" s="779"/>
      <c r="N21" s="779"/>
      <c r="O21" s="779"/>
      <c r="P21" s="779"/>
      <c r="Q21" s="408">
        <f t="shared" si="10"/>
        <v>0</v>
      </c>
    </row>
    <row r="22" spans="2:17" ht="14.4">
      <c r="B22" s="304" t="s">
        <v>884</v>
      </c>
      <c r="C22" s="779"/>
      <c r="D22" s="779"/>
      <c r="E22" s="779"/>
      <c r="F22" s="779"/>
      <c r="G22" s="779"/>
      <c r="H22" s="409">
        <v>1.4</v>
      </c>
      <c r="I22" s="410">
        <f t="shared" si="4"/>
        <v>0</v>
      </c>
      <c r="J22" s="779"/>
      <c r="K22" s="779"/>
      <c r="L22" s="779"/>
      <c r="M22" s="779"/>
      <c r="N22" s="779"/>
      <c r="O22" s="779"/>
      <c r="P22" s="779"/>
      <c r="Q22" s="408">
        <f>SUM(Q23:Q25)</f>
        <v>0</v>
      </c>
    </row>
    <row r="23" spans="2:17" ht="14.4">
      <c r="B23" s="411" t="s">
        <v>878</v>
      </c>
      <c r="C23" s="779"/>
      <c r="D23" s="779"/>
      <c r="E23" s="779"/>
      <c r="F23" s="779"/>
      <c r="G23" s="779"/>
      <c r="H23" s="409">
        <v>1.4</v>
      </c>
      <c r="I23" s="410">
        <f t="shared" si="4"/>
        <v>0</v>
      </c>
      <c r="J23" s="779"/>
      <c r="K23" s="779"/>
      <c r="L23" s="779"/>
      <c r="M23" s="779"/>
      <c r="N23" s="779"/>
      <c r="O23" s="779"/>
      <c r="P23" s="779"/>
      <c r="Q23" s="408">
        <f>SUMPRODUCT($J$5:$P$5,J23:P23)</f>
        <v>0</v>
      </c>
    </row>
    <row r="24" spans="2:17" ht="14.4">
      <c r="B24" s="411" t="s">
        <v>879</v>
      </c>
      <c r="C24" s="779"/>
      <c r="D24" s="779"/>
      <c r="E24" s="779"/>
      <c r="F24" s="779"/>
      <c r="G24" s="779"/>
      <c r="H24" s="409">
        <v>1.4</v>
      </c>
      <c r="I24" s="410">
        <f t="shared" si="4"/>
        <v>0</v>
      </c>
      <c r="J24" s="779"/>
      <c r="K24" s="779"/>
      <c r="L24" s="779"/>
      <c r="M24" s="779"/>
      <c r="N24" s="779"/>
      <c r="O24" s="779"/>
      <c r="P24" s="779"/>
      <c r="Q24" s="408">
        <f t="shared" ref="Q24:Q25" si="11">SUMPRODUCT($J$5:$P$5,J24:P24)</f>
        <v>0</v>
      </c>
    </row>
    <row r="25" spans="2:17" ht="14.4">
      <c r="B25" s="411" t="s">
        <v>880</v>
      </c>
      <c r="C25" s="779"/>
      <c r="D25" s="779"/>
      <c r="E25" s="779"/>
      <c r="F25" s="779"/>
      <c r="G25" s="779"/>
      <c r="H25" s="409">
        <v>1.4</v>
      </c>
      <c r="I25" s="410">
        <f t="shared" si="4"/>
        <v>0</v>
      </c>
      <c r="J25" s="779"/>
      <c r="K25" s="779"/>
      <c r="L25" s="779"/>
      <c r="M25" s="779"/>
      <c r="N25" s="779"/>
      <c r="O25" s="779"/>
      <c r="P25" s="779"/>
      <c r="Q25" s="408">
        <f t="shared" si="11"/>
        <v>0</v>
      </c>
    </row>
    <row r="26" spans="2:17" ht="14.4">
      <c r="B26" s="304" t="s">
        <v>885</v>
      </c>
      <c r="C26" s="779"/>
      <c r="D26" s="779"/>
      <c r="E26" s="779"/>
      <c r="F26" s="779"/>
      <c r="G26" s="779"/>
      <c r="H26" s="409">
        <v>1.4</v>
      </c>
      <c r="I26" s="410">
        <f t="shared" si="4"/>
        <v>0</v>
      </c>
      <c r="J26" s="779"/>
      <c r="K26" s="779"/>
      <c r="L26" s="779"/>
      <c r="M26" s="779"/>
      <c r="N26" s="779"/>
      <c r="O26" s="779"/>
      <c r="P26" s="779"/>
      <c r="Q26" s="408">
        <f>SUM(Q27:Q29)</f>
        <v>0</v>
      </c>
    </row>
    <row r="27" spans="2:17" ht="14.4">
      <c r="B27" s="411" t="s">
        <v>878</v>
      </c>
      <c r="C27" s="779"/>
      <c r="D27" s="779"/>
      <c r="E27" s="779"/>
      <c r="F27" s="779"/>
      <c r="G27" s="779"/>
      <c r="H27" s="409">
        <v>1.4</v>
      </c>
      <c r="I27" s="410">
        <f t="shared" si="4"/>
        <v>0</v>
      </c>
      <c r="J27" s="779"/>
      <c r="K27" s="779"/>
      <c r="L27" s="779"/>
      <c r="M27" s="779"/>
      <c r="N27" s="779"/>
      <c r="O27" s="779"/>
      <c r="P27" s="779"/>
      <c r="Q27" s="408">
        <f>SUMPRODUCT($J$5:$P$5,J27:P27)</f>
        <v>0</v>
      </c>
    </row>
    <row r="28" spans="2:17" ht="14.4">
      <c r="B28" s="411" t="s">
        <v>879</v>
      </c>
      <c r="C28" s="779"/>
      <c r="D28" s="779"/>
      <c r="E28" s="779"/>
      <c r="F28" s="779"/>
      <c r="G28" s="779"/>
      <c r="H28" s="409">
        <v>1.4</v>
      </c>
      <c r="I28" s="410">
        <f t="shared" si="4"/>
        <v>0</v>
      </c>
      <c r="J28" s="779"/>
      <c r="K28" s="779"/>
      <c r="L28" s="779"/>
      <c r="M28" s="779"/>
      <c r="N28" s="779"/>
      <c r="O28" s="779"/>
      <c r="P28" s="779"/>
      <c r="Q28" s="408">
        <f t="shared" ref="Q28:Q29" si="12">SUMPRODUCT($J$5:$P$5,J28:P28)</f>
        <v>0</v>
      </c>
    </row>
    <row r="29" spans="2:17" ht="14.4">
      <c r="B29" s="411" t="s">
        <v>880</v>
      </c>
      <c r="C29" s="779"/>
      <c r="D29" s="779"/>
      <c r="E29" s="779"/>
      <c r="F29" s="779"/>
      <c r="G29" s="779"/>
      <c r="H29" s="409">
        <v>1.4</v>
      </c>
      <c r="I29" s="410">
        <f t="shared" si="4"/>
        <v>0</v>
      </c>
      <c r="J29" s="779"/>
      <c r="K29" s="779"/>
      <c r="L29" s="779"/>
      <c r="M29" s="779"/>
      <c r="N29" s="779"/>
      <c r="O29" s="779"/>
      <c r="P29" s="779"/>
      <c r="Q29" s="408">
        <f t="shared" si="12"/>
        <v>0</v>
      </c>
    </row>
    <row r="30" spans="2:17" ht="14.4">
      <c r="B30" s="306" t="s">
        <v>886</v>
      </c>
      <c r="C30" s="779"/>
      <c r="D30" s="779"/>
      <c r="E30" s="779"/>
      <c r="F30" s="779"/>
      <c r="G30" s="779"/>
      <c r="H30" s="409">
        <v>1.4</v>
      </c>
      <c r="I30" s="410">
        <f t="shared" si="4"/>
        <v>0</v>
      </c>
      <c r="J30" s="779"/>
      <c r="K30" s="779"/>
      <c r="L30" s="779"/>
      <c r="M30" s="779"/>
      <c r="N30" s="779"/>
      <c r="O30" s="779"/>
      <c r="P30" s="779"/>
      <c r="Q30" s="408">
        <f>SUM(Q31:Q33)</f>
        <v>0</v>
      </c>
    </row>
    <row r="31" spans="2:17" ht="14.4">
      <c r="B31" s="411" t="s">
        <v>878</v>
      </c>
      <c r="C31" s="779"/>
      <c r="D31" s="779"/>
      <c r="E31" s="779"/>
      <c r="F31" s="779"/>
      <c r="G31" s="779"/>
      <c r="H31" s="409">
        <v>1.4</v>
      </c>
      <c r="I31" s="410">
        <f t="shared" si="4"/>
        <v>0</v>
      </c>
      <c r="J31" s="779"/>
      <c r="K31" s="779"/>
      <c r="L31" s="779"/>
      <c r="M31" s="779"/>
      <c r="N31" s="779"/>
      <c r="O31" s="779"/>
      <c r="P31" s="779"/>
      <c r="Q31" s="408">
        <f>SUMPRODUCT($J$5:$P$5,J31:P31)</f>
        <v>0</v>
      </c>
    </row>
    <row r="32" spans="2:17" ht="14.4">
      <c r="B32" s="411" t="s">
        <v>879</v>
      </c>
      <c r="C32" s="779"/>
      <c r="D32" s="779"/>
      <c r="E32" s="779"/>
      <c r="F32" s="779"/>
      <c r="G32" s="779"/>
      <c r="H32" s="409">
        <v>1.4</v>
      </c>
      <c r="I32" s="410">
        <f t="shared" si="4"/>
        <v>0</v>
      </c>
      <c r="J32" s="779"/>
      <c r="K32" s="779"/>
      <c r="L32" s="779"/>
      <c r="M32" s="779"/>
      <c r="N32" s="779"/>
      <c r="O32" s="779"/>
      <c r="P32" s="779"/>
      <c r="Q32" s="408">
        <f t="shared" ref="Q32:Q33" si="13">SUMPRODUCT($J$5:$P$5,J32:P32)</f>
        <v>0</v>
      </c>
    </row>
    <row r="33" spans="2:17" ht="14.4">
      <c r="B33" s="411" t="s">
        <v>880</v>
      </c>
      <c r="C33" s="779"/>
      <c r="D33" s="779"/>
      <c r="E33" s="779"/>
      <c r="F33" s="779"/>
      <c r="G33" s="779"/>
      <c r="H33" s="409">
        <v>1.4</v>
      </c>
      <c r="I33" s="410">
        <f t="shared" si="4"/>
        <v>0</v>
      </c>
      <c r="J33" s="779"/>
      <c r="K33" s="779"/>
      <c r="L33" s="779"/>
      <c r="M33" s="779"/>
      <c r="N33" s="779"/>
      <c r="O33" s="779"/>
      <c r="P33" s="779"/>
      <c r="Q33" s="408">
        <f t="shared" si="13"/>
        <v>0</v>
      </c>
    </row>
    <row r="34" spans="2:17" ht="14.4">
      <c r="B34" s="412" t="s">
        <v>59</v>
      </c>
      <c r="C34" s="705">
        <f>C6</f>
        <v>286186623.91600001</v>
      </c>
      <c r="D34" s="705">
        <f t="shared" ref="D34:G34" si="14">D6</f>
        <v>0</v>
      </c>
      <c r="E34" s="705">
        <f t="shared" si="14"/>
        <v>0</v>
      </c>
      <c r="F34" s="705">
        <f t="shared" si="14"/>
        <v>390257.03300720721</v>
      </c>
      <c r="G34" s="705">
        <f t="shared" si="14"/>
        <v>2614090.9306618497</v>
      </c>
      <c r="H34" s="409">
        <v>1.4</v>
      </c>
      <c r="I34" s="410">
        <f>(F34+G34)*H34</f>
        <v>4206087.1491366792</v>
      </c>
      <c r="J34" s="705">
        <f t="shared" ref="J34:Q34" si="15">J6</f>
        <v>0</v>
      </c>
      <c r="K34" s="705">
        <f t="shared" si="15"/>
        <v>0</v>
      </c>
      <c r="L34" s="705">
        <f t="shared" si="15"/>
        <v>0</v>
      </c>
      <c r="M34" s="705">
        <f t="shared" si="15"/>
        <v>197138.5340517124</v>
      </c>
      <c r="N34" s="705">
        <f t="shared" si="15"/>
        <v>0</v>
      </c>
      <c r="O34" s="705">
        <f t="shared" si="15"/>
        <v>4008948.6150849662</v>
      </c>
      <c r="P34" s="705">
        <f t="shared" si="15"/>
        <v>0</v>
      </c>
      <c r="Q34" s="705">
        <f t="shared" si="15"/>
        <v>4107517.8821108225</v>
      </c>
    </row>
    <row r="35" spans="2:17" ht="14.4">
      <c r="B35" s="338"/>
      <c r="C35" s="338"/>
      <c r="D35" s="338"/>
      <c r="E35" s="338"/>
      <c r="F35" s="338"/>
      <c r="G35" s="338"/>
      <c r="H35" s="338"/>
      <c r="I35" s="338"/>
      <c r="J35" s="338"/>
      <c r="K35" s="338"/>
      <c r="L35" s="338"/>
      <c r="M35" s="338"/>
      <c r="N35" s="338"/>
      <c r="O35" s="338"/>
      <c r="P35" s="338"/>
      <c r="Q35" s="338"/>
    </row>
    <row r="36" spans="2:17" ht="14.4">
      <c r="B36" s="338"/>
      <c r="C36" s="338"/>
      <c r="D36" s="338"/>
      <c r="E36" s="338"/>
      <c r="F36" s="338"/>
      <c r="G36" s="338"/>
      <c r="H36" s="338"/>
      <c r="I36" s="338"/>
      <c r="J36" s="338"/>
      <c r="K36" s="338"/>
      <c r="L36" s="338"/>
      <c r="M36" s="338"/>
      <c r="N36" s="338"/>
      <c r="O36" s="338"/>
      <c r="P36" s="338"/>
      <c r="Q36" s="338"/>
    </row>
    <row r="37" spans="2:17" ht="14.4">
      <c r="G37" s="338"/>
      <c r="H37" s="338"/>
      <c r="I37" s="338"/>
      <c r="J37" s="338"/>
      <c r="K37" s="338"/>
      <c r="L37" s="338"/>
      <c r="M37" s="338"/>
      <c r="N37" s="338"/>
      <c r="O37" s="338"/>
      <c r="P37" s="338"/>
      <c r="Q37" s="338"/>
    </row>
    <row r="38" spans="2:17" ht="14.4">
      <c r="G38" s="338"/>
      <c r="H38" s="338"/>
      <c r="I38" s="338"/>
      <c r="J38" s="338"/>
      <c r="K38" s="338"/>
      <c r="L38" s="338"/>
      <c r="M38" s="338"/>
      <c r="N38" s="338"/>
      <c r="O38" s="338"/>
      <c r="P38" s="338"/>
      <c r="Q38" s="338"/>
    </row>
    <row r="39" spans="2:17" ht="14.4">
      <c r="G39" s="338"/>
      <c r="H39" s="338"/>
      <c r="I39" s="338"/>
      <c r="J39" s="338"/>
      <c r="K39" s="338"/>
      <c r="L39" s="338"/>
      <c r="M39" s="338"/>
      <c r="N39" s="338"/>
      <c r="O39" s="338"/>
      <c r="P39" s="338"/>
      <c r="Q39" s="338"/>
    </row>
    <row r="40" spans="2:17" ht="14.4">
      <c r="G40" s="338"/>
      <c r="H40" s="338"/>
      <c r="I40" s="338"/>
      <c r="J40" s="338"/>
      <c r="K40" s="338"/>
      <c r="L40" s="338"/>
      <c r="M40" s="338"/>
      <c r="N40" s="338"/>
      <c r="O40" s="338"/>
      <c r="P40" s="338"/>
      <c r="Q40" s="338"/>
    </row>
    <row r="41" spans="2:17" ht="14.4">
      <c r="G41" s="338"/>
      <c r="H41" s="338"/>
      <c r="I41" s="338"/>
      <c r="J41" s="338"/>
      <c r="K41" s="338"/>
      <c r="L41" s="338"/>
      <c r="M41" s="338"/>
      <c r="N41" s="338"/>
      <c r="O41" s="338"/>
      <c r="P41" s="338"/>
      <c r="Q41" s="338"/>
    </row>
    <row r="42" spans="2:17" ht="14.4">
      <c r="G42" s="338"/>
      <c r="H42" s="338"/>
      <c r="I42" s="338"/>
      <c r="J42" s="338"/>
      <c r="K42" s="338"/>
      <c r="L42" s="338"/>
      <c r="M42" s="338"/>
      <c r="N42" s="338"/>
      <c r="O42" s="338"/>
      <c r="P42" s="338"/>
      <c r="Q42" s="338"/>
    </row>
  </sheetData>
  <conditionalFormatting sqref="I7:I34">
    <cfRule type="expression" dxfId="26" priority="1">
      <formula>(C7*#REF!)&lt;&gt;SUM(#REF!)</formula>
    </cfRule>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7"/>
  <sheetViews>
    <sheetView zoomScale="70" zoomScaleNormal="70" workbookViewId="0">
      <selection activeCell="C34" sqref="C34"/>
    </sheetView>
  </sheetViews>
  <sheetFormatPr defaultRowHeight="13.8"/>
  <cols>
    <col min="1" max="1" width="13.5546875" style="9" customWidth="1"/>
    <col min="2" max="2" width="76.77734375" style="260" customWidth="1"/>
    <col min="3" max="3" width="22.77734375" style="9" customWidth="1"/>
    <col min="4" max="5" width="4.88671875" style="345" bestFit="1" customWidth="1"/>
    <col min="6" max="16384" width="8.88671875" style="345"/>
  </cols>
  <sheetData>
    <row r="1" spans="1:3">
      <c r="A1" s="342" t="s">
        <v>869</v>
      </c>
      <c r="B1" s="344" t="str">
        <f>Info!C2</f>
        <v>კრისტალი</v>
      </c>
    </row>
    <row r="2" spans="1:3">
      <c r="A2" s="342" t="s">
        <v>88</v>
      </c>
      <c r="B2" s="343">
        <f>'1. key ratios'!B2</f>
        <v>46022</v>
      </c>
    </row>
    <row r="3" spans="1:3">
      <c r="B3" s="9"/>
    </row>
    <row r="4" spans="1:3">
      <c r="A4" s="9" t="s">
        <v>369</v>
      </c>
      <c r="B4" s="9" t="s">
        <v>338</v>
      </c>
    </row>
    <row r="5" spans="1:3">
      <c r="A5" s="624"/>
      <c r="B5" s="624" t="s">
        <v>339</v>
      </c>
      <c r="C5" s="649"/>
    </row>
    <row r="6" spans="1:3">
      <c r="A6" s="625">
        <v>1</v>
      </c>
      <c r="B6" s="626" t="s">
        <v>339</v>
      </c>
      <c r="C6" s="627">
        <v>670489860.46684408</v>
      </c>
    </row>
    <row r="7" spans="1:3">
      <c r="A7" s="625">
        <v>2</v>
      </c>
      <c r="B7" s="626" t="s">
        <v>340</v>
      </c>
      <c r="C7" s="627">
        <v>-8120996.5999999996</v>
      </c>
    </row>
    <row r="8" spans="1:3">
      <c r="A8" s="628">
        <v>3</v>
      </c>
      <c r="B8" s="635" t="s">
        <v>341</v>
      </c>
      <c r="C8" s="629">
        <v>662368863.86684406</v>
      </c>
    </row>
    <row r="9" spans="1:3">
      <c r="A9" s="650"/>
      <c r="B9" s="650" t="s">
        <v>342</v>
      </c>
      <c r="C9" s="312"/>
    </row>
    <row r="10" spans="1:3">
      <c r="A10" s="625">
        <v>4</v>
      </c>
      <c r="B10" s="630" t="s">
        <v>343</v>
      </c>
      <c r="C10" s="627">
        <v>390257.03300720721</v>
      </c>
    </row>
    <row r="11" spans="1:3">
      <c r="A11" s="625">
        <v>5</v>
      </c>
      <c r="B11" s="631" t="s">
        <v>344</v>
      </c>
      <c r="C11" s="627">
        <v>2614090.9306618497</v>
      </c>
    </row>
    <row r="12" spans="1:3">
      <c r="A12" s="625">
        <v>6</v>
      </c>
      <c r="B12" s="632" t="s">
        <v>892</v>
      </c>
      <c r="C12" s="629">
        <v>4206087.1491366792</v>
      </c>
    </row>
    <row r="13" spans="1:3" ht="27.6">
      <c r="A13" s="633">
        <v>7</v>
      </c>
      <c r="B13" s="634" t="s">
        <v>345</v>
      </c>
      <c r="C13" s="627">
        <v>0</v>
      </c>
    </row>
    <row r="14" spans="1:3">
      <c r="A14" s="628">
        <v>8</v>
      </c>
      <c r="B14" s="635" t="s">
        <v>346</v>
      </c>
      <c r="C14" s="629">
        <v>4206087.1491366792</v>
      </c>
    </row>
    <row r="15" spans="1:3">
      <c r="A15" s="650"/>
      <c r="B15" s="650" t="s">
        <v>347</v>
      </c>
      <c r="C15" s="312"/>
    </row>
    <row r="16" spans="1:3" ht="27.6">
      <c r="A16" s="633">
        <v>9</v>
      </c>
      <c r="B16" s="636" t="s">
        <v>348</v>
      </c>
      <c r="C16" s="627">
        <v>0</v>
      </c>
    </row>
    <row r="17" spans="1:3">
      <c r="A17" s="625">
        <v>10</v>
      </c>
      <c r="B17" s="626" t="s">
        <v>349</v>
      </c>
      <c r="C17" s="627">
        <v>0</v>
      </c>
    </row>
    <row r="18" spans="1:3">
      <c r="A18" s="625">
        <v>11</v>
      </c>
      <c r="B18" s="626" t="s">
        <v>350</v>
      </c>
      <c r="C18" s="627">
        <v>0</v>
      </c>
    </row>
    <row r="19" spans="1:3" ht="27.6">
      <c r="A19" s="633">
        <v>12</v>
      </c>
      <c r="B19" s="636" t="s">
        <v>351</v>
      </c>
      <c r="C19" s="627">
        <v>0</v>
      </c>
    </row>
    <row r="20" spans="1:3">
      <c r="A20" s="633">
        <v>13</v>
      </c>
      <c r="B20" s="636" t="s">
        <v>352</v>
      </c>
      <c r="C20" s="627">
        <v>0</v>
      </c>
    </row>
    <row r="21" spans="1:3">
      <c r="A21" s="633">
        <v>14</v>
      </c>
      <c r="B21" s="626" t="s">
        <v>353</v>
      </c>
      <c r="C21" s="627">
        <v>0</v>
      </c>
    </row>
    <row r="22" spans="1:3">
      <c r="A22" s="628">
        <v>15</v>
      </c>
      <c r="B22" s="635" t="s">
        <v>354</v>
      </c>
      <c r="C22" s="629">
        <v>0</v>
      </c>
    </row>
    <row r="23" spans="1:3">
      <c r="A23" s="650"/>
      <c r="B23" s="650" t="s">
        <v>355</v>
      </c>
      <c r="C23" s="312"/>
    </row>
    <row r="24" spans="1:3">
      <c r="A24" s="625">
        <v>16</v>
      </c>
      <c r="B24" s="626" t="s">
        <v>356</v>
      </c>
      <c r="C24" s="627">
        <v>2435483.6339999991</v>
      </c>
    </row>
    <row r="25" spans="1:3">
      <c r="A25" s="625">
        <v>17</v>
      </c>
      <c r="B25" s="626" t="s">
        <v>357</v>
      </c>
      <c r="C25" s="627">
        <v>-1825413.5723099993</v>
      </c>
    </row>
    <row r="26" spans="1:3">
      <c r="A26" s="628">
        <v>18</v>
      </c>
      <c r="B26" s="635" t="s">
        <v>358</v>
      </c>
      <c r="C26" s="629">
        <v>610070.06168999989</v>
      </c>
    </row>
    <row r="27" spans="1:3">
      <c r="A27" s="650"/>
      <c r="B27" s="650" t="s">
        <v>359</v>
      </c>
      <c r="C27" s="312"/>
    </row>
    <row r="28" spans="1:3">
      <c r="A28" s="625">
        <v>19</v>
      </c>
      <c r="B28" s="626" t="s">
        <v>360</v>
      </c>
      <c r="C28" s="627">
        <v>0</v>
      </c>
    </row>
    <row r="29" spans="1:3">
      <c r="A29" s="625">
        <v>20</v>
      </c>
      <c r="B29" s="626" t="s">
        <v>361</v>
      </c>
      <c r="C29" s="627">
        <v>0</v>
      </c>
    </row>
    <row r="30" spans="1:3">
      <c r="A30" s="650"/>
      <c r="B30" s="650" t="s">
        <v>362</v>
      </c>
      <c r="C30" s="312"/>
    </row>
    <row r="31" spans="1:3">
      <c r="A31" s="628">
        <v>21</v>
      </c>
      <c r="B31" s="635" t="s">
        <v>68</v>
      </c>
      <c r="C31" s="629">
        <v>98551397.894086584</v>
      </c>
    </row>
    <row r="32" spans="1:3">
      <c r="A32" s="628">
        <v>22</v>
      </c>
      <c r="B32" s="635" t="s">
        <v>363</v>
      </c>
      <c r="C32" s="629">
        <v>667185021.07767069</v>
      </c>
    </row>
    <row r="33" spans="1:3">
      <c r="A33" s="650"/>
      <c r="B33" s="650" t="s">
        <v>338</v>
      </c>
      <c r="C33" s="312"/>
    </row>
    <row r="34" spans="1:3">
      <c r="A34" s="628">
        <v>23</v>
      </c>
      <c r="B34" s="635" t="s">
        <v>338</v>
      </c>
      <c r="C34" s="706">
        <f>IFERROR(C31/C32,0)</f>
        <v>0.14771224589979767</v>
      </c>
    </row>
    <row r="35" spans="1:3">
      <c r="A35" s="650"/>
      <c r="B35" s="650" t="s">
        <v>364</v>
      </c>
      <c r="C35" s="312"/>
    </row>
    <row r="36" spans="1:3">
      <c r="A36" s="633" t="s">
        <v>365</v>
      </c>
      <c r="B36" s="636" t="s">
        <v>366</v>
      </c>
      <c r="C36" s="637">
        <v>0</v>
      </c>
    </row>
    <row r="37" spans="1:3" ht="27.6">
      <c r="A37" s="638" t="s">
        <v>367</v>
      </c>
      <c r="B37" s="639" t="s">
        <v>368</v>
      </c>
      <c r="C37" s="637">
        <v>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9"/>
  <sheetViews>
    <sheetView zoomScale="70" zoomScaleNormal="70" workbookViewId="0">
      <selection activeCell="C7" sqref="C7:F9"/>
    </sheetView>
  </sheetViews>
  <sheetFormatPr defaultRowHeight="14.4"/>
  <cols>
    <col min="1" max="1" width="12.6640625" style="163" customWidth="1"/>
    <col min="2" max="2" width="76.77734375" style="308" customWidth="1"/>
    <col min="3" max="6" width="31.88671875" style="163" customWidth="1"/>
  </cols>
  <sheetData>
    <row r="1" spans="1:6">
      <c r="A1" s="342" t="s">
        <v>869</v>
      </c>
      <c r="B1" s="344" t="str">
        <f>Info!C2</f>
        <v>კრისტალი</v>
      </c>
    </row>
    <row r="2" spans="1:6">
      <c r="A2" s="342" t="s">
        <v>88</v>
      </c>
      <c r="B2" s="343">
        <f>'1. key ratios'!B2</f>
        <v>46022</v>
      </c>
    </row>
    <row r="3" spans="1:6">
      <c r="A3" s="11"/>
      <c r="B3" s="163"/>
    </row>
    <row r="4" spans="1:6">
      <c r="A4" s="307" t="s">
        <v>893</v>
      </c>
    </row>
    <row r="5" spans="1:6" ht="72">
      <c r="B5" s="305"/>
      <c r="C5" s="309" t="s">
        <v>887</v>
      </c>
      <c r="D5" s="309" t="s">
        <v>888</v>
      </c>
      <c r="E5" s="309" t="s">
        <v>889</v>
      </c>
      <c r="F5" s="309" t="s">
        <v>890</v>
      </c>
    </row>
    <row r="6" spans="1:6">
      <c r="B6" s="310" t="s">
        <v>891</v>
      </c>
      <c r="C6" s="398">
        <f>IF(C7&gt;0,C7,IF(C8&gt;0,C8,IF(C9&gt;0,C9,0)))</f>
        <v>4166371.9333618977</v>
      </c>
      <c r="D6" s="398">
        <f t="shared" ref="D6:F6" si="0">IF(D7&gt;0,D7,IF(D8&gt;0,D8,IF(D9&gt;0,D9,0)))</f>
        <v>66787.233796121014</v>
      </c>
      <c r="E6" s="398">
        <f t="shared" si="0"/>
        <v>0</v>
      </c>
      <c r="F6" s="398">
        <f t="shared" si="0"/>
        <v>834840.42245151266</v>
      </c>
    </row>
    <row r="7" spans="1:6">
      <c r="B7" s="311" t="s">
        <v>878</v>
      </c>
      <c r="C7" s="413">
        <v>4166371.9333618977</v>
      </c>
      <c r="D7" s="413">
        <v>66787.233796121014</v>
      </c>
      <c r="E7" s="413">
        <v>0</v>
      </c>
      <c r="F7" s="413">
        <v>834840.42245151266</v>
      </c>
    </row>
    <row r="8" spans="1:6">
      <c r="B8" s="311" t="s">
        <v>879</v>
      </c>
      <c r="C8" s="413">
        <v>0</v>
      </c>
      <c r="D8" s="413">
        <v>0</v>
      </c>
      <c r="E8" s="413">
        <v>0</v>
      </c>
      <c r="F8" s="413">
        <v>0</v>
      </c>
    </row>
    <row r="9" spans="1:6">
      <c r="B9" s="311" t="s">
        <v>880</v>
      </c>
      <c r="C9" s="413">
        <v>0</v>
      </c>
      <c r="D9" s="413">
        <v>0</v>
      </c>
      <c r="E9" s="413">
        <v>0</v>
      </c>
      <c r="F9" s="413">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3"/>
  <sheetViews>
    <sheetView tabSelected="1" zoomScale="70" zoomScaleNormal="70" workbookViewId="0">
      <pane xSplit="1" ySplit="5" topLeftCell="B6" activePane="bottomRight" state="frozen"/>
      <selection activeCell="C46" sqref="C46"/>
      <selection pane="topRight" activeCell="C46" sqref="C46"/>
      <selection pane="bottomLeft" activeCell="C46" sqref="C46"/>
      <selection pane="bottomRight" activeCell="A3" sqref="A3"/>
    </sheetView>
  </sheetViews>
  <sheetFormatPr defaultRowHeight="14.4"/>
  <cols>
    <col min="1" max="1" width="13.5546875" style="5" bestFit="1" customWidth="1"/>
    <col min="2" max="2" width="86" style="5" bestFit="1" customWidth="1"/>
    <col min="3" max="3" width="14.77734375" style="5" bestFit="1" customWidth="1"/>
    <col min="4" max="7" width="12.77734375" style="11" customWidth="1"/>
    <col min="8" max="8" width="6.77734375" style="723" customWidth="1"/>
    <col min="9" max="9" width="6.77734375" customWidth="1"/>
    <col min="10" max="10" width="16.33203125" customWidth="1"/>
    <col min="11" max="11" width="15.5546875" customWidth="1"/>
  </cols>
  <sheetData>
    <row r="1" spans="1:7">
      <c r="A1" s="342" t="s">
        <v>869</v>
      </c>
      <c r="B1" s="344" t="str">
        <f>Info!C2</f>
        <v>კრისტალი</v>
      </c>
    </row>
    <row r="2" spans="1:7">
      <c r="A2" s="342" t="s">
        <v>88</v>
      </c>
      <c r="B2" s="343">
        <v>46022</v>
      </c>
    </row>
    <row r="3" spans="1:7" ht="15" thickBot="1">
      <c r="A3" s="4"/>
      <c r="D3" s="729"/>
    </row>
    <row r="4" spans="1:7" ht="15" customHeight="1" thickBot="1">
      <c r="A4" s="12" t="s">
        <v>215</v>
      </c>
      <c r="B4" s="17" t="s">
        <v>111</v>
      </c>
      <c r="C4" s="164"/>
      <c r="D4" s="781" t="s">
        <v>845</v>
      </c>
      <c r="E4" s="782"/>
      <c r="F4" s="782"/>
      <c r="G4" s="783"/>
    </row>
    <row r="5" spans="1:7">
      <c r="A5" s="29" t="s">
        <v>25</v>
      </c>
      <c r="B5" s="165"/>
      <c r="C5" s="166" t="str">
        <f>INT((MONTH($B$2))/3)&amp;"Q"&amp;"-"&amp;YEAR($B$2)</f>
        <v>4Q-2025</v>
      </c>
      <c r="D5" s="734" t="str">
        <f>IF(INT(MONTH($B$2))=3, "4"&amp;"Q"&amp;"-"&amp;YEAR($B$2)-1, IF(INT(MONTH($B$2))=6, "1"&amp;"Q"&amp;"-"&amp;YEAR($B$2), IF(INT(MONTH($B$2))=9, "2"&amp;"Q"&amp;"-"&amp;YEAR($B$2),IF(INT(MONTH($B$2))=12, "3"&amp;"Q"&amp;"-"&amp;YEAR($B$2), 0))))</f>
        <v>3Q-2025</v>
      </c>
      <c r="E5" s="166" t="str">
        <f>IF(INT(MONTH($B$2))=3, "3"&amp;"Q"&amp;"-"&amp;YEAR($B$2)-1, IF(INT(MONTH($B$2))=6, "4"&amp;"Q"&amp;"-"&amp;YEAR($B$2)-1, IF(INT(MONTH($B$2))=9, "1"&amp;"Q"&amp;"-"&amp;YEAR($B$2),IF(INT(MONTH($B$2))=12, "2"&amp;"Q"&amp;"-"&amp;YEAR($B$2), 0))))</f>
        <v>2Q-2025</v>
      </c>
      <c r="F5" s="166" t="str">
        <f>IF(INT(MONTH($B$2))=3, "2"&amp;"Q"&amp;"-"&amp;YEAR($B$2)-1, IF(INT(MONTH($B$2))=6, "3"&amp;"Q"&amp;"-"&amp;YEAR($B$2)-1, IF(INT(MONTH($B$2))=9, "4"&amp;"Q"&amp;"-"&amp;YEAR($B$2)-1,IF(INT(MONTH($B$2))=12, "1"&amp;"Q"&amp;"-"&amp;YEAR($B$2), 0))))</f>
        <v>1Q-2025</v>
      </c>
      <c r="G5" s="167" t="str">
        <f>IF(INT(MONTH($B$2))=3, "1"&amp;"Q"&amp;"-"&amp;YEAR($B$2)-1, IF(INT(MONTH($B$2))=6, "2"&amp;"Q"&amp;"-"&amp;YEAR($B$2)-1, IF(INT(MONTH($B$2))=9, "3"&amp;"Q"&amp;"-"&amp;YEAR($B$2)-1,IF(INT(MONTH($B$2))=12, "4"&amp;"Q"&amp;"-"&amp;YEAR($B$2)-1, 0))))</f>
        <v>4Q-2024</v>
      </c>
    </row>
    <row r="6" spans="1:7">
      <c r="A6" s="37"/>
      <c r="B6" s="168" t="s">
        <v>86</v>
      </c>
      <c r="C6" s="169"/>
      <c r="D6" s="735"/>
      <c r="E6" s="169"/>
      <c r="F6" s="169"/>
      <c r="G6" s="170"/>
    </row>
    <row r="7" spans="1:7">
      <c r="A7" s="37"/>
      <c r="B7" s="171" t="s">
        <v>89</v>
      </c>
      <c r="C7" s="169"/>
      <c r="D7" s="735"/>
      <c r="E7" s="169"/>
      <c r="F7" s="169"/>
      <c r="G7" s="170"/>
    </row>
    <row r="8" spans="1:7">
      <c r="A8" s="35">
        <v>1</v>
      </c>
      <c r="B8" s="172" t="s">
        <v>22</v>
      </c>
      <c r="C8" s="173">
        <v>98551397.894086584</v>
      </c>
      <c r="D8" s="173">
        <v>100251680.77656534</v>
      </c>
      <c r="E8" s="173">
        <v>96736791.263049752</v>
      </c>
      <c r="F8" s="173"/>
      <c r="G8" s="174"/>
    </row>
    <row r="9" spans="1:7">
      <c r="A9" s="35">
        <v>2</v>
      </c>
      <c r="B9" s="172" t="s">
        <v>68</v>
      </c>
      <c r="C9" s="173">
        <v>98551397.894086584</v>
      </c>
      <c r="D9" s="173">
        <v>100251680.77656534</v>
      </c>
      <c r="E9" s="173">
        <v>96736791.263049752</v>
      </c>
      <c r="F9" s="173"/>
      <c r="G9" s="174"/>
    </row>
    <row r="10" spans="1:7">
      <c r="A10" s="35">
        <v>3</v>
      </c>
      <c r="B10" s="172" t="s">
        <v>67</v>
      </c>
      <c r="C10" s="173">
        <v>125603273.89408658</v>
      </c>
      <c r="D10" s="173">
        <v>120022040.77656534</v>
      </c>
      <c r="E10" s="173">
        <v>118094603.26304975</v>
      </c>
      <c r="F10" s="173"/>
      <c r="G10" s="174"/>
    </row>
    <row r="11" spans="1:7">
      <c r="A11" s="35">
        <v>4</v>
      </c>
      <c r="B11" s="172" t="s">
        <v>377</v>
      </c>
      <c r="C11" s="173">
        <v>70510829.56917417</v>
      </c>
      <c r="D11" s="173">
        <v>65240220.084318638</v>
      </c>
      <c r="E11" s="173">
        <v>65286875.213134959</v>
      </c>
      <c r="F11" s="173"/>
      <c r="G11" s="174"/>
    </row>
    <row r="12" spans="1:7">
      <c r="A12" s="35">
        <v>5</v>
      </c>
      <c r="B12" s="172" t="s">
        <v>378</v>
      </c>
      <c r="C12" s="173">
        <v>84382888.957074314</v>
      </c>
      <c r="D12" s="173">
        <v>77542813.100212261</v>
      </c>
      <c r="E12" s="173">
        <v>77671112.42268455</v>
      </c>
      <c r="F12" s="173"/>
      <c r="G12" s="174"/>
    </row>
    <row r="13" spans="1:7">
      <c r="A13" s="35">
        <v>6</v>
      </c>
      <c r="B13" s="172" t="s">
        <v>379</v>
      </c>
      <c r="C13" s="173">
        <v>102808774.29204604</v>
      </c>
      <c r="D13" s="173">
        <v>93894360.779564574</v>
      </c>
      <c r="E13" s="173">
        <v>94131174.536642909</v>
      </c>
      <c r="F13" s="173"/>
      <c r="G13" s="174"/>
    </row>
    <row r="14" spans="1:7">
      <c r="A14" s="37"/>
      <c r="B14" s="168" t="s">
        <v>381</v>
      </c>
      <c r="C14" s="169"/>
      <c r="D14" s="735"/>
      <c r="E14" s="169"/>
      <c r="F14" s="169"/>
      <c r="G14" s="170"/>
    </row>
    <row r="15" spans="1:7" ht="27.6">
      <c r="A15" s="35">
        <v>7</v>
      </c>
      <c r="B15" s="172" t="s">
        <v>380</v>
      </c>
      <c r="C15" s="173">
        <v>658067333.39184737</v>
      </c>
      <c r="D15" s="173">
        <v>622916102.07056379</v>
      </c>
      <c r="E15" s="173">
        <v>627049985.2936511</v>
      </c>
      <c r="F15" s="173"/>
      <c r="G15" s="174"/>
    </row>
    <row r="16" spans="1:7">
      <c r="A16" s="37"/>
      <c r="B16" s="168" t="s">
        <v>383</v>
      </c>
      <c r="C16" s="169"/>
      <c r="D16" s="735"/>
      <c r="E16" s="169"/>
      <c r="F16" s="169"/>
      <c r="G16" s="170"/>
    </row>
    <row r="17" spans="1:7">
      <c r="A17" s="35"/>
      <c r="B17" s="171" t="s">
        <v>865</v>
      </c>
      <c r="C17" s="169"/>
      <c r="D17" s="735"/>
      <c r="E17" s="169"/>
      <c r="F17" s="169"/>
      <c r="G17" s="170"/>
    </row>
    <row r="18" spans="1:7">
      <c r="A18" s="35">
        <v>8</v>
      </c>
      <c r="B18" s="172" t="s">
        <v>375</v>
      </c>
      <c r="C18" s="175">
        <v>0.14975883605424914</v>
      </c>
      <c r="D18" s="175">
        <v>0.16093929895748441</v>
      </c>
      <c r="E18" s="175">
        <v>0.15427285468756904</v>
      </c>
      <c r="F18" s="175"/>
      <c r="G18" s="176"/>
    </row>
    <row r="19" spans="1:7" ht="15" customHeight="1">
      <c r="A19" s="35">
        <v>9</v>
      </c>
      <c r="B19" s="172" t="s">
        <v>374</v>
      </c>
      <c r="C19" s="175">
        <v>0.14975883605424914</v>
      </c>
      <c r="D19" s="175">
        <v>0.16093929895748441</v>
      </c>
      <c r="E19" s="175">
        <v>0.15427285468756904</v>
      </c>
      <c r="F19" s="175"/>
      <c r="G19" s="176"/>
    </row>
    <row r="20" spans="1:7">
      <c r="A20" s="35">
        <v>10</v>
      </c>
      <c r="B20" s="172" t="s">
        <v>376</v>
      </c>
      <c r="C20" s="175">
        <v>0.19086690300625497</v>
      </c>
      <c r="D20" s="175">
        <v>0.19267769829293846</v>
      </c>
      <c r="E20" s="175">
        <v>0.18833363532852229</v>
      </c>
      <c r="F20" s="175"/>
      <c r="G20" s="176"/>
    </row>
    <row r="21" spans="1:7">
      <c r="A21" s="35">
        <v>11</v>
      </c>
      <c r="B21" s="172" t="s">
        <v>377</v>
      </c>
      <c r="C21" s="175">
        <v>0.10714835092291136</v>
      </c>
      <c r="D21" s="175">
        <v>0.10473355860839224</v>
      </c>
      <c r="E21" s="175">
        <v>0.10411749739944694</v>
      </c>
      <c r="F21" s="175"/>
      <c r="G21" s="176"/>
    </row>
    <row r="22" spans="1:7">
      <c r="A22" s="35">
        <v>12</v>
      </c>
      <c r="B22" s="172" t="s">
        <v>378</v>
      </c>
      <c r="C22" s="175">
        <v>0.12822835092291138</v>
      </c>
      <c r="D22" s="175">
        <v>0.12448355860839222</v>
      </c>
      <c r="E22" s="175">
        <v>0.12386749739944691</v>
      </c>
      <c r="F22" s="175"/>
      <c r="G22" s="176"/>
    </row>
    <row r="23" spans="1:7">
      <c r="A23" s="35">
        <v>13</v>
      </c>
      <c r="B23" s="172" t="s">
        <v>379</v>
      </c>
      <c r="C23" s="175">
        <v>0.15622835092291137</v>
      </c>
      <c r="D23" s="175">
        <v>0.15073355860839224</v>
      </c>
      <c r="E23" s="175">
        <v>0.15011749739944694</v>
      </c>
      <c r="F23" s="175"/>
      <c r="G23" s="176"/>
    </row>
    <row r="24" spans="1:7">
      <c r="A24" s="37"/>
      <c r="B24" s="168"/>
      <c r="C24" s="177"/>
      <c r="D24" s="736"/>
      <c r="E24" s="177"/>
      <c r="F24" s="177"/>
      <c r="G24" s="178"/>
    </row>
    <row r="25" spans="1:7">
      <c r="A25" s="35"/>
      <c r="B25" s="172"/>
      <c r="C25" s="179"/>
      <c r="D25" s="179"/>
      <c r="E25" s="179"/>
      <c r="F25" s="179"/>
      <c r="G25" s="180"/>
    </row>
    <row r="26" spans="1:7">
      <c r="A26" s="37"/>
      <c r="B26" s="168" t="s">
        <v>7</v>
      </c>
      <c r="C26" s="169"/>
      <c r="D26" s="735"/>
      <c r="E26" s="169"/>
      <c r="F26" s="169"/>
      <c r="G26" s="170"/>
    </row>
    <row r="27" spans="1:7" ht="15" customHeight="1">
      <c r="A27" s="38">
        <v>15</v>
      </c>
      <c r="B27" s="39" t="s">
        <v>8</v>
      </c>
      <c r="C27" s="175">
        <v>0.27061166381856228</v>
      </c>
      <c r="D27" s="175">
        <v>0.27421771082372526</v>
      </c>
      <c r="E27" s="744">
        <v>0.27492358296656155</v>
      </c>
      <c r="F27" s="139"/>
      <c r="G27" s="140"/>
    </row>
    <row r="28" spans="1:7">
      <c r="A28" s="38">
        <v>16</v>
      </c>
      <c r="B28" s="39" t="s">
        <v>9</v>
      </c>
      <c r="C28" s="175">
        <v>8.2708458863415824E-2</v>
      </c>
      <c r="D28" s="175">
        <v>8.2021427886706771E-2</v>
      </c>
      <c r="E28" s="744">
        <v>8.176704012558797E-2</v>
      </c>
      <c r="F28" s="139"/>
      <c r="G28" s="140"/>
    </row>
    <row r="29" spans="1:7">
      <c r="A29" s="38">
        <v>17</v>
      </c>
      <c r="B29" s="39" t="s">
        <v>10</v>
      </c>
      <c r="C29" s="175">
        <v>6.6649143027230642E-2</v>
      </c>
      <c r="D29" s="175">
        <v>8.9231692177385941E-2</v>
      </c>
      <c r="E29" s="744">
        <v>8.6420145461373499E-2</v>
      </c>
      <c r="F29" s="139"/>
      <c r="G29" s="140"/>
    </row>
    <row r="30" spans="1:7">
      <c r="A30" s="38">
        <v>18</v>
      </c>
      <c r="B30" s="39" t="s">
        <v>112</v>
      </c>
      <c r="C30" s="175">
        <v>0.18790320495514645</v>
      </c>
      <c r="D30" s="175">
        <v>0.19219628293701846</v>
      </c>
      <c r="E30" s="744">
        <v>0.19315654284097356</v>
      </c>
      <c r="F30" s="139"/>
      <c r="G30" s="140"/>
    </row>
    <row r="31" spans="1:7">
      <c r="A31" s="38">
        <v>19</v>
      </c>
      <c r="B31" s="39" t="s">
        <v>11</v>
      </c>
      <c r="C31" s="175">
        <v>2.1609959055360065E-2</v>
      </c>
      <c r="D31" s="175">
        <v>2.6316406975848389E-2</v>
      </c>
      <c r="E31" s="744">
        <v>2.615035059690806E-2</v>
      </c>
      <c r="F31" s="139"/>
      <c r="G31" s="140"/>
    </row>
    <row r="32" spans="1:7">
      <c r="A32" s="38">
        <v>20</v>
      </c>
      <c r="B32" s="39" t="s">
        <v>12</v>
      </c>
      <c r="C32" s="175">
        <v>0.1326456517261988</v>
      </c>
      <c r="D32" s="175">
        <v>0.16184216312213845</v>
      </c>
      <c r="E32" s="744">
        <v>0.15987830578063861</v>
      </c>
      <c r="F32" s="139"/>
      <c r="G32" s="140"/>
    </row>
    <row r="33" spans="1:7">
      <c r="A33" s="37"/>
      <c r="B33" s="168" t="s">
        <v>13</v>
      </c>
      <c r="C33" s="169"/>
      <c r="D33" s="735"/>
      <c r="E33" s="169"/>
      <c r="F33" s="169"/>
      <c r="G33" s="170"/>
    </row>
    <row r="34" spans="1:7">
      <c r="A34" s="38">
        <v>21</v>
      </c>
      <c r="B34" s="39" t="s">
        <v>14</v>
      </c>
      <c r="C34" s="700">
        <v>3.5071112531771344E-2</v>
      </c>
      <c r="D34" s="737">
        <v>3.5347092322783456E-2</v>
      </c>
      <c r="E34" s="744">
        <v>3.2004658617543542E-2</v>
      </c>
      <c r="F34" s="139"/>
      <c r="G34" s="140"/>
    </row>
    <row r="35" spans="1:7" ht="15" customHeight="1">
      <c r="A35" s="38">
        <v>22</v>
      </c>
      <c r="B35" s="39" t="s">
        <v>858</v>
      </c>
      <c r="C35" s="700">
        <v>3.6385683138885308E-2</v>
      </c>
      <c r="D35" s="737">
        <v>3.1599080278168899E-2</v>
      </c>
      <c r="E35" s="744">
        <v>3.0139403070741047E-2</v>
      </c>
      <c r="F35" s="139"/>
      <c r="G35" s="140"/>
    </row>
    <row r="36" spans="1:7">
      <c r="A36" s="153"/>
      <c r="B36" s="154"/>
      <c r="C36" s="701"/>
      <c r="D36" s="738"/>
      <c r="E36" s="155"/>
      <c r="F36" s="155"/>
      <c r="G36" s="156"/>
    </row>
    <row r="37" spans="1:7" ht="15" customHeight="1">
      <c r="A37" s="38">
        <v>24</v>
      </c>
      <c r="B37" s="39" t="s">
        <v>15</v>
      </c>
      <c r="C37" s="700">
        <v>4.2643194655976498E-2</v>
      </c>
      <c r="D37" s="737">
        <v>2.754878434744382E-2</v>
      </c>
      <c r="E37" s="744">
        <v>2.3717189952980441E-2</v>
      </c>
      <c r="F37" s="139"/>
      <c r="G37" s="140"/>
    </row>
    <row r="38" spans="1:7">
      <c r="A38" s="38">
        <v>25</v>
      </c>
      <c r="B38" s="39" t="s">
        <v>16</v>
      </c>
      <c r="C38" s="700">
        <v>0.10581687662796491</v>
      </c>
      <c r="D38" s="737">
        <v>8.302363961961054E-2</v>
      </c>
      <c r="E38" s="744">
        <v>7.6781518470049714E-2</v>
      </c>
      <c r="F38" s="139"/>
      <c r="G38" s="140"/>
    </row>
    <row r="39" spans="1:7" ht="15" customHeight="1">
      <c r="A39" s="37"/>
      <c r="B39" s="168" t="s">
        <v>17</v>
      </c>
      <c r="C39" s="169"/>
      <c r="D39" s="735"/>
      <c r="E39" s="169"/>
      <c r="F39" s="169"/>
      <c r="G39" s="170"/>
    </row>
    <row r="40" spans="1:7" ht="15" customHeight="1">
      <c r="A40" s="38">
        <v>26</v>
      </c>
      <c r="B40" s="39" t="s">
        <v>18</v>
      </c>
      <c r="C40" s="700">
        <v>8.576052300259894E-2</v>
      </c>
      <c r="D40" s="737">
        <v>9.8405456681662659E-2</v>
      </c>
      <c r="E40" s="745">
        <v>6.0739257647646629E-2</v>
      </c>
      <c r="F40" s="141"/>
      <c r="G40" s="142"/>
    </row>
    <row r="41" spans="1:7" ht="15" customHeight="1">
      <c r="A41" s="38">
        <v>27</v>
      </c>
      <c r="B41" s="39" t="s">
        <v>19</v>
      </c>
      <c r="C41" s="700">
        <v>0.5515656623625409</v>
      </c>
      <c r="D41" s="737">
        <v>0.52941713148153147</v>
      </c>
      <c r="E41" s="745">
        <v>0.53246174029731519</v>
      </c>
      <c r="F41" s="141"/>
      <c r="G41" s="142"/>
    </row>
    <row r="42" spans="1:7" ht="15" customHeight="1">
      <c r="A42" s="38">
        <v>28</v>
      </c>
      <c r="B42" s="40" t="s">
        <v>20</v>
      </c>
      <c r="C42" s="700">
        <v>1.6007418161374264E-2</v>
      </c>
      <c r="D42" s="737">
        <v>1.6130557456147585E-2</v>
      </c>
      <c r="E42" s="745">
        <v>1.313401790489944E-2</v>
      </c>
      <c r="F42" s="141"/>
      <c r="G42" s="142"/>
    </row>
    <row r="43" spans="1:7" ht="15" customHeight="1">
      <c r="A43" s="181"/>
      <c r="B43" s="168" t="s">
        <v>998</v>
      </c>
      <c r="C43" s="169"/>
      <c r="D43" s="735"/>
      <c r="E43" s="169"/>
      <c r="F43" s="169"/>
      <c r="G43" s="170"/>
    </row>
    <row r="44" spans="1:7" ht="15" customHeight="1">
      <c r="A44" s="38">
        <v>29</v>
      </c>
      <c r="B44" s="44" t="s">
        <v>296</v>
      </c>
      <c r="C44" s="777">
        <v>44512330.536497548</v>
      </c>
      <c r="D44" s="739">
        <v>53887411.721883014</v>
      </c>
      <c r="E44" s="141">
        <v>25789729.459150422</v>
      </c>
      <c r="F44" s="141"/>
      <c r="G44" s="142"/>
    </row>
    <row r="45" spans="1:7">
      <c r="A45" s="38">
        <v>30</v>
      </c>
      <c r="B45" s="39" t="s">
        <v>297</v>
      </c>
      <c r="C45" s="778">
        <v>2623699.1570898746</v>
      </c>
      <c r="D45" s="739">
        <v>9224867.2327429466</v>
      </c>
      <c r="E45" s="139">
        <v>2106808.6659945003</v>
      </c>
      <c r="F45" s="139"/>
      <c r="G45" s="140"/>
    </row>
    <row r="46" spans="1:7">
      <c r="A46" s="41">
        <v>31</v>
      </c>
      <c r="B46" s="42" t="s">
        <v>295</v>
      </c>
      <c r="C46" s="700">
        <v>16.965485702205751</v>
      </c>
      <c r="D46" s="737">
        <v>5.8415379172736328</v>
      </c>
      <c r="E46" s="745">
        <v>12.241135075726779</v>
      </c>
      <c r="F46" s="141"/>
      <c r="G46" s="142"/>
    </row>
    <row r="47" spans="1:7">
      <c r="A47" s="41"/>
      <c r="B47" s="168" t="s">
        <v>384</v>
      </c>
      <c r="C47" s="169"/>
      <c r="D47" s="735"/>
      <c r="E47" s="169"/>
      <c r="F47" s="169"/>
      <c r="G47" s="170"/>
    </row>
    <row r="48" spans="1:7">
      <c r="A48" s="41">
        <v>32</v>
      </c>
      <c r="B48" s="42" t="s">
        <v>391</v>
      </c>
      <c r="C48" s="727">
        <v>471127508.50472397</v>
      </c>
      <c r="D48" s="746">
        <v>453432266.99706942</v>
      </c>
      <c r="E48" s="143">
        <v>424894296.17742962</v>
      </c>
      <c r="F48" s="143"/>
      <c r="G48" s="43"/>
    </row>
    <row r="49" spans="1:7">
      <c r="A49" s="41">
        <v>33</v>
      </c>
      <c r="B49" s="42" t="s">
        <v>404</v>
      </c>
      <c r="C49" s="727">
        <v>418779543.4253397</v>
      </c>
      <c r="D49" s="746">
        <v>407006349.26996481</v>
      </c>
      <c r="E49" s="143">
        <v>400879896.82444221</v>
      </c>
      <c r="F49" s="143"/>
      <c r="G49" s="43"/>
    </row>
    <row r="50" spans="1:7" ht="15" thickBot="1">
      <c r="A50" s="14">
        <v>34</v>
      </c>
      <c r="B50" s="28" t="s">
        <v>418</v>
      </c>
      <c r="C50" s="702">
        <v>1.1250012468403126</v>
      </c>
      <c r="D50" s="740">
        <v>1.1140668144621759</v>
      </c>
      <c r="E50" s="747">
        <v>1.0599042257298847</v>
      </c>
      <c r="F50" s="144"/>
      <c r="G50" s="145"/>
    </row>
    <row r="51" spans="1:7">
      <c r="A51" s="6"/>
    </row>
    <row r="52" spans="1:7">
      <c r="B52" s="182"/>
    </row>
    <row r="53" spans="1:7" ht="69">
      <c r="B53" s="91" t="s">
        <v>943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2"/>
  <sheetViews>
    <sheetView zoomScale="70" zoomScaleNormal="70" workbookViewId="0">
      <pane xSplit="2" ySplit="6" topLeftCell="C7" activePane="bottomRight" state="frozen"/>
      <selection activeCell="C33" sqref="C33:G33"/>
      <selection pane="topRight" activeCell="C33" sqref="C33:G33"/>
      <selection pane="bottomLeft" activeCell="C33" sqref="C33:G33"/>
      <selection pane="bottomRight" activeCell="C8" sqref="C8:G36"/>
    </sheetView>
  </sheetViews>
  <sheetFormatPr defaultRowHeight="14.4"/>
  <cols>
    <col min="1" max="1" width="11.6640625" style="9" bestFit="1" customWidth="1"/>
    <col min="2" max="2" width="82.6640625" style="260" customWidth="1"/>
    <col min="3" max="7" width="17.5546875" style="9" customWidth="1"/>
    <col min="8" max="8" width="8.88671875" style="338"/>
    <col min="9" max="16384" width="8.88671875" style="324"/>
  </cols>
  <sheetData>
    <row r="1" spans="1:7">
      <c r="A1" s="342" t="s">
        <v>869</v>
      </c>
      <c r="B1" s="344" t="str">
        <f>Info!C2</f>
        <v>კრისტალი</v>
      </c>
    </row>
    <row r="2" spans="1:7">
      <c r="A2" s="342" t="s">
        <v>88</v>
      </c>
      <c r="B2" s="343">
        <f>'1. key ratios'!B2</f>
        <v>46022</v>
      </c>
    </row>
    <row r="3" spans="1:7">
      <c r="B3" s="429"/>
    </row>
    <row r="4" spans="1:7" ht="15" thickBot="1">
      <c r="A4" s="9" t="s">
        <v>419</v>
      </c>
      <c r="B4" s="430" t="s">
        <v>384</v>
      </c>
    </row>
    <row r="5" spans="1:7">
      <c r="A5" s="431"/>
      <c r="B5" s="432"/>
      <c r="C5" s="833" t="s">
        <v>385</v>
      </c>
      <c r="D5" s="833"/>
      <c r="E5" s="833"/>
      <c r="F5" s="833"/>
      <c r="G5" s="834" t="s">
        <v>386</v>
      </c>
    </row>
    <row r="6" spans="1:7">
      <c r="A6" s="433"/>
      <c r="B6" s="434"/>
      <c r="C6" s="435" t="s">
        <v>387</v>
      </c>
      <c r="D6" s="435" t="s">
        <v>388</v>
      </c>
      <c r="E6" s="435" t="s">
        <v>389</v>
      </c>
      <c r="F6" s="435" t="s">
        <v>390</v>
      </c>
      <c r="G6" s="835"/>
    </row>
    <row r="7" spans="1:7">
      <c r="A7" s="436"/>
      <c r="B7" s="437" t="s">
        <v>391</v>
      </c>
      <c r="C7" s="438"/>
      <c r="D7" s="438"/>
      <c r="E7" s="438"/>
      <c r="F7" s="438"/>
      <c r="G7" s="313"/>
    </row>
    <row r="8" spans="1:7">
      <c r="A8" s="439">
        <v>1</v>
      </c>
      <c r="B8" s="184" t="s">
        <v>392</v>
      </c>
      <c r="C8" s="316">
        <f>SUM(C9:C10)</f>
        <v>98738856.919999912</v>
      </c>
      <c r="D8" s="316">
        <f>SUM(D9:D10)</f>
        <v>0</v>
      </c>
      <c r="E8" s="316">
        <f>SUM(E9:E10)</f>
        <v>0</v>
      </c>
      <c r="F8" s="316">
        <f>SUM(F9:F10)</f>
        <v>266704364.47999999</v>
      </c>
      <c r="G8" s="771">
        <f>SUM(G9:G10)</f>
        <v>365443221.39999992</v>
      </c>
    </row>
    <row r="9" spans="1:7">
      <c r="A9" s="439">
        <v>2</v>
      </c>
      <c r="B9" s="440" t="s">
        <v>67</v>
      </c>
      <c r="C9" s="316">
        <v>98738856.919999912</v>
      </c>
      <c r="D9" s="316">
        <v>0</v>
      </c>
      <c r="E9" s="316">
        <v>0</v>
      </c>
      <c r="F9" s="316">
        <v>27051876</v>
      </c>
      <c r="G9" s="771">
        <f>SUM(C9:F9)*100%</f>
        <v>125790732.91999991</v>
      </c>
    </row>
    <row r="10" spans="1:7">
      <c r="A10" s="439">
        <v>3</v>
      </c>
      <c r="B10" s="440" t="s">
        <v>393</v>
      </c>
      <c r="C10" s="441"/>
      <c r="D10" s="441"/>
      <c r="E10" s="441"/>
      <c r="F10" s="314">
        <v>239652488.47999999</v>
      </c>
      <c r="G10" s="415">
        <f>SUM(C10:F10)*100%</f>
        <v>239652488.47999999</v>
      </c>
    </row>
    <row r="11" spans="1:7" ht="27.6">
      <c r="A11" s="439">
        <v>4</v>
      </c>
      <c r="B11" s="184" t="s">
        <v>394</v>
      </c>
      <c r="C11" s="316">
        <f t="shared" ref="C11:F11" si="0">SUM(C12:C13)</f>
        <v>11354222.432198588</v>
      </c>
      <c r="D11" s="316">
        <f t="shared" si="0"/>
        <v>24569098.912300423</v>
      </c>
      <c r="E11" s="316">
        <f t="shared" si="0"/>
        <v>25767101.43149998</v>
      </c>
      <c r="F11" s="316">
        <f t="shared" si="0"/>
        <v>3173432.5184000009</v>
      </c>
      <c r="G11" s="771">
        <f>SUM(G12:G13)</f>
        <v>61397147.710174039</v>
      </c>
    </row>
    <row r="12" spans="1:7">
      <c r="A12" s="439">
        <v>5</v>
      </c>
      <c r="B12" s="440" t="s">
        <v>395</v>
      </c>
      <c r="C12" s="314">
        <v>11354222.432198588</v>
      </c>
      <c r="D12" s="314">
        <v>24488547.523400422</v>
      </c>
      <c r="E12" s="314">
        <v>25350953.221499979</v>
      </c>
      <c r="F12" s="314">
        <v>3173432.5184000009</v>
      </c>
      <c r="G12" s="415">
        <f>SUM(C12:F12)*95%</f>
        <v>61148797.910724036</v>
      </c>
    </row>
    <row r="13" spans="1:7">
      <c r="A13" s="439">
        <v>6</v>
      </c>
      <c r="B13" s="440" t="s">
        <v>396</v>
      </c>
      <c r="C13" s="314">
        <v>0</v>
      </c>
      <c r="D13" s="314">
        <v>80551.388900000005</v>
      </c>
      <c r="E13" s="314">
        <v>416148.21</v>
      </c>
      <c r="F13" s="314">
        <v>0</v>
      </c>
      <c r="G13" s="415">
        <f>SUM(C13:F13)*50%</f>
        <v>248349.79945000002</v>
      </c>
    </row>
    <row r="14" spans="1:7">
      <c r="A14" s="439">
        <v>7</v>
      </c>
      <c r="B14" s="184" t="s">
        <v>397</v>
      </c>
      <c r="C14" s="316">
        <f>SUM(C15:C16)</f>
        <v>156398.82639999999</v>
      </c>
      <c r="D14" s="316">
        <f>SUM(D15:D16)</f>
        <v>116144830.01809999</v>
      </c>
      <c r="E14" s="316">
        <f>SUM(E15:E16)</f>
        <v>84630470.430000007</v>
      </c>
      <c r="F14" s="316">
        <f>SUM(F15:F16)</f>
        <v>0</v>
      </c>
      <c r="G14" s="316">
        <f>SUM(G15:G16)</f>
        <v>44287139.394550003</v>
      </c>
    </row>
    <row r="15" spans="1:7" ht="55.2">
      <c r="A15" s="439">
        <v>8</v>
      </c>
      <c r="B15" s="440" t="s">
        <v>398</v>
      </c>
      <c r="C15" s="314">
        <v>0</v>
      </c>
      <c r="D15" s="314">
        <v>3943808.3591</v>
      </c>
      <c r="E15" s="314">
        <v>4279277.5</v>
      </c>
      <c r="F15" s="314">
        <v>0</v>
      </c>
      <c r="G15" s="415">
        <f>SUM(C15:F15)*50%</f>
        <v>4111542.92955</v>
      </c>
    </row>
    <row r="16" spans="1:7" ht="27.6">
      <c r="A16" s="439">
        <v>9</v>
      </c>
      <c r="B16" s="440" t="s">
        <v>399</v>
      </c>
      <c r="C16" s="314">
        <v>156398.82639999999</v>
      </c>
      <c r="D16" s="314">
        <v>112201021.65899999</v>
      </c>
      <c r="E16" s="314">
        <v>80351192.930000007</v>
      </c>
      <c r="F16" s="314">
        <v>0</v>
      </c>
      <c r="G16" s="415">
        <f>E16*50%</f>
        <v>40175596.465000004</v>
      </c>
    </row>
    <row r="17" spans="1:7">
      <c r="A17" s="439">
        <v>10</v>
      </c>
      <c r="B17" s="184" t="s">
        <v>400</v>
      </c>
      <c r="C17" s="314">
        <v>0</v>
      </c>
      <c r="D17" s="314">
        <v>0</v>
      </c>
      <c r="E17" s="314">
        <v>0</v>
      </c>
      <c r="F17" s="314">
        <v>0</v>
      </c>
      <c r="G17" s="415">
        <f>SUM(C17:F17)*0%</f>
        <v>0</v>
      </c>
    </row>
    <row r="18" spans="1:7">
      <c r="A18" s="439">
        <v>11</v>
      </c>
      <c r="B18" s="184" t="s">
        <v>71</v>
      </c>
      <c r="C18" s="316">
        <f>SUM(C19:C20)</f>
        <v>0</v>
      </c>
      <c r="D18" s="316">
        <f t="shared" ref="D18:F18" si="1">SUM(D19:D20)</f>
        <v>26729677.06517053</v>
      </c>
      <c r="E18" s="316">
        <f t="shared" si="1"/>
        <v>5595501.284235511</v>
      </c>
      <c r="F18" s="316">
        <f t="shared" si="1"/>
        <v>522127.33432583511</v>
      </c>
      <c r="G18" s="771">
        <f>SUM(G19:G20)</f>
        <v>0</v>
      </c>
    </row>
    <row r="19" spans="1:7">
      <c r="A19" s="439">
        <v>12</v>
      </c>
      <c r="B19" s="440" t="s">
        <v>401</v>
      </c>
      <c r="C19" s="441"/>
      <c r="D19" s="314">
        <v>9012059.9352842607</v>
      </c>
      <c r="E19" s="314">
        <v>3267977.7040217756</v>
      </c>
      <c r="F19" s="314">
        <v>522127.33432583511</v>
      </c>
      <c r="G19" s="415">
        <f>SUM(C19:F19)*0%</f>
        <v>0</v>
      </c>
    </row>
    <row r="20" spans="1:7" ht="27.6">
      <c r="A20" s="439">
        <v>13</v>
      </c>
      <c r="B20" s="440" t="s">
        <v>402</v>
      </c>
      <c r="C20" s="314">
        <v>0</v>
      </c>
      <c r="D20" s="314">
        <v>17717617.12988627</v>
      </c>
      <c r="E20" s="314">
        <v>2327523.5802137358</v>
      </c>
      <c r="F20" s="314">
        <v>0</v>
      </c>
      <c r="G20" s="415">
        <f>SUM(C20:F20)*0%</f>
        <v>0</v>
      </c>
    </row>
    <row r="21" spans="1:7">
      <c r="A21" s="442">
        <v>14</v>
      </c>
      <c r="B21" s="443" t="s">
        <v>403</v>
      </c>
      <c r="C21" s="441"/>
      <c r="D21" s="441"/>
      <c r="E21" s="441"/>
      <c r="F21" s="441"/>
      <c r="G21" s="420">
        <f>SUM(G8,G11,G14,G17,G18)</f>
        <v>471127508.50472397</v>
      </c>
    </row>
    <row r="22" spans="1:7">
      <c r="A22" s="444"/>
      <c r="B22" s="445" t="s">
        <v>404</v>
      </c>
      <c r="C22" s="315"/>
      <c r="D22" s="315"/>
      <c r="E22" s="315"/>
      <c r="F22" s="315"/>
      <c r="G22" s="446"/>
    </row>
    <row r="23" spans="1:7">
      <c r="A23" s="439">
        <v>15</v>
      </c>
      <c r="B23" s="184" t="s">
        <v>278</v>
      </c>
      <c r="C23" s="316">
        <v>31200503.104500026</v>
      </c>
      <c r="D23" s="316">
        <v>25924290</v>
      </c>
      <c r="E23" s="316">
        <v>0</v>
      </c>
      <c r="F23" s="316">
        <v>0</v>
      </c>
      <c r="G23" s="415">
        <v>561665.69055000006</v>
      </c>
    </row>
    <row r="24" spans="1:7">
      <c r="A24" s="439">
        <v>16</v>
      </c>
      <c r="B24" s="184" t="s">
        <v>405</v>
      </c>
      <c r="C24" s="316">
        <f>SUM(C25:C27,C29,C31)</f>
        <v>0</v>
      </c>
      <c r="D24" s="316">
        <f t="shared" ref="D24:F24" si="2">SUM(D25:D27,D29,D31)</f>
        <v>160208654.10419732</v>
      </c>
      <c r="E24" s="316">
        <f t="shared" si="2"/>
        <v>120580145.57474422</v>
      </c>
      <c r="F24" s="316">
        <f t="shared" si="2"/>
        <v>250696552.16580597</v>
      </c>
      <c r="G24" s="771">
        <f>SUM(G25:G27,G29,G31)</f>
        <v>353514726.78040588</v>
      </c>
    </row>
    <row r="25" spans="1:7" ht="27.6">
      <c r="A25" s="439">
        <v>17</v>
      </c>
      <c r="B25" s="440" t="s">
        <v>406</v>
      </c>
      <c r="C25" s="314">
        <v>0</v>
      </c>
      <c r="D25" s="314">
        <v>0</v>
      </c>
      <c r="E25" s="314">
        <v>0</v>
      </c>
      <c r="F25" s="314">
        <v>0</v>
      </c>
      <c r="G25" s="415">
        <v>0</v>
      </c>
    </row>
    <row r="26" spans="1:7" ht="27.6">
      <c r="A26" s="439">
        <v>18</v>
      </c>
      <c r="B26" s="440" t="s">
        <v>407</v>
      </c>
      <c r="C26" s="314">
        <v>0</v>
      </c>
      <c r="D26" s="314">
        <v>0</v>
      </c>
      <c r="E26" s="314">
        <v>188384</v>
      </c>
      <c r="F26" s="314">
        <v>188384</v>
      </c>
      <c r="G26" s="415">
        <f>E26*50%+F26*100%</f>
        <v>282576</v>
      </c>
    </row>
    <row r="27" spans="1:7">
      <c r="A27" s="439">
        <v>19</v>
      </c>
      <c r="B27" s="440" t="s">
        <v>408</v>
      </c>
      <c r="C27" s="316">
        <v>0</v>
      </c>
      <c r="D27" s="316">
        <v>160208654.10419732</v>
      </c>
      <c r="E27" s="316">
        <v>120391761.57474422</v>
      </c>
      <c r="F27" s="316">
        <v>250508168.16580597</v>
      </c>
      <c r="G27" s="415">
        <f>F27*85%+SUM(D27:E27)*50%</f>
        <v>353232150.78040588</v>
      </c>
    </row>
    <row r="28" spans="1:7">
      <c r="A28" s="439">
        <v>20</v>
      </c>
      <c r="B28" s="440" t="s">
        <v>409</v>
      </c>
      <c r="C28" s="314">
        <v>0</v>
      </c>
      <c r="D28" s="314">
        <v>0</v>
      </c>
      <c r="E28" s="314">
        <v>0</v>
      </c>
      <c r="F28" s="314">
        <v>0</v>
      </c>
      <c r="G28" s="415">
        <v>0</v>
      </c>
    </row>
    <row r="29" spans="1:7">
      <c r="A29" s="439">
        <v>21</v>
      </c>
      <c r="B29" s="440" t="s">
        <v>410</v>
      </c>
      <c r="C29" s="314">
        <v>0</v>
      </c>
      <c r="D29" s="314">
        <v>0</v>
      </c>
      <c r="E29" s="314">
        <v>0</v>
      </c>
      <c r="F29" s="314">
        <v>0</v>
      </c>
      <c r="G29" s="415">
        <v>0</v>
      </c>
    </row>
    <row r="30" spans="1:7">
      <c r="A30" s="439">
        <v>22</v>
      </c>
      <c r="B30" s="440" t="s">
        <v>409</v>
      </c>
      <c r="C30" s="314">
        <v>0</v>
      </c>
      <c r="D30" s="314">
        <v>0</v>
      </c>
      <c r="E30" s="314">
        <v>0</v>
      </c>
      <c r="F30" s="314">
        <v>0</v>
      </c>
      <c r="G30" s="415">
        <v>0</v>
      </c>
    </row>
    <row r="31" spans="1:7" ht="27.6">
      <c r="A31" s="439">
        <v>23</v>
      </c>
      <c r="B31" s="440" t="s">
        <v>411</v>
      </c>
      <c r="C31" s="314">
        <v>0</v>
      </c>
      <c r="D31" s="314">
        <v>0</v>
      </c>
      <c r="E31" s="314">
        <v>0</v>
      </c>
      <c r="F31" s="314">
        <v>0</v>
      </c>
      <c r="G31" s="415">
        <v>0</v>
      </c>
    </row>
    <row r="32" spans="1:7">
      <c r="A32" s="439">
        <v>24</v>
      </c>
      <c r="B32" s="184" t="s">
        <v>412</v>
      </c>
      <c r="C32" s="314">
        <v>0</v>
      </c>
      <c r="D32" s="314">
        <v>0</v>
      </c>
      <c r="E32" s="314">
        <v>0</v>
      </c>
      <c r="F32" s="314">
        <v>0</v>
      </c>
      <c r="G32" s="415">
        <v>0</v>
      </c>
    </row>
    <row r="33" spans="1:7">
      <c r="A33" s="439">
        <v>25</v>
      </c>
      <c r="B33" s="184" t="s">
        <v>79</v>
      </c>
      <c r="C33" s="316">
        <f>SUM(C34:C35)</f>
        <v>28263951.340000004</v>
      </c>
      <c r="D33" s="316">
        <f>SUM(D34:D35)</f>
        <v>22696021.282689899</v>
      </c>
      <c r="E33" s="316">
        <f>SUM(E34:E35)</f>
        <v>8382818.3124362007</v>
      </c>
      <c r="F33" s="316">
        <f>SUM(F34:F35)</f>
        <v>16133145.521820746</v>
      </c>
      <c r="G33" s="771">
        <f>SUM(G34:G35)</f>
        <v>64581376.772683799</v>
      </c>
    </row>
    <row r="34" spans="1:7">
      <c r="A34" s="439">
        <v>26</v>
      </c>
      <c r="B34" s="440" t="s">
        <v>413</v>
      </c>
      <c r="C34" s="441"/>
      <c r="D34" s="314">
        <v>0</v>
      </c>
      <c r="E34" s="314">
        <v>0</v>
      </c>
      <c r="F34" s="314">
        <v>0</v>
      </c>
      <c r="G34" s="415">
        <f>SUM(C34:F34)*100%</f>
        <v>0</v>
      </c>
    </row>
    <row r="35" spans="1:7">
      <c r="A35" s="439">
        <v>27</v>
      </c>
      <c r="B35" s="440" t="s">
        <v>414</v>
      </c>
      <c r="C35" s="314">
        <v>28263951.340000004</v>
      </c>
      <c r="D35" s="314">
        <v>22696021.282689899</v>
      </c>
      <c r="E35" s="314">
        <v>8382818.3124362007</v>
      </c>
      <c r="F35" s="314">
        <v>16133145.521820746</v>
      </c>
      <c r="G35" s="415">
        <v>64581376.772683799</v>
      </c>
    </row>
    <row r="36" spans="1:7">
      <c r="A36" s="439">
        <v>28</v>
      </c>
      <c r="B36" s="184" t="s">
        <v>415</v>
      </c>
      <c r="C36" s="314">
        <v>0</v>
      </c>
      <c r="D36" s="314">
        <v>1952038.2177000002</v>
      </c>
      <c r="E36" s="314">
        <v>126188.83</v>
      </c>
      <c r="F36" s="314">
        <v>357256.58629999997</v>
      </c>
      <c r="G36" s="415">
        <v>121774.18169999994</v>
      </c>
    </row>
    <row r="37" spans="1:7">
      <c r="A37" s="442">
        <v>29</v>
      </c>
      <c r="B37" s="443" t="s">
        <v>416</v>
      </c>
      <c r="C37" s="441"/>
      <c r="D37" s="441"/>
      <c r="E37" s="441"/>
      <c r="F37" s="441"/>
      <c r="G37" s="420">
        <f>SUM(G23:G24,G32:G33,G36)</f>
        <v>418779543.4253397</v>
      </c>
    </row>
    <row r="38" spans="1:7">
      <c r="A38" s="436"/>
      <c r="B38" s="447"/>
      <c r="C38" s="286"/>
      <c r="D38" s="286"/>
      <c r="E38" s="286"/>
      <c r="F38" s="286"/>
      <c r="G38" s="448"/>
    </row>
    <row r="39" spans="1:7" ht="15" thickBot="1">
      <c r="A39" s="449">
        <v>30</v>
      </c>
      <c r="B39" s="186" t="s">
        <v>384</v>
      </c>
      <c r="C39" s="450"/>
      <c r="D39" s="451"/>
      <c r="E39" s="451"/>
      <c r="F39" s="452"/>
      <c r="G39" s="453">
        <f>IFERROR(G21/G37,0)</f>
        <v>1.1250012468403126</v>
      </c>
    </row>
    <row r="42" spans="1:7" ht="41.4">
      <c r="B42" s="260" t="s">
        <v>417</v>
      </c>
    </row>
  </sheetData>
  <mergeCells count="2">
    <mergeCell ref="C5:F5"/>
    <mergeCell ref="G5:G6"/>
  </mergeCells>
  <pageMargins left="0.7" right="0.7" top="0.75" bottom="0.75" header="0.3" footer="0.3"/>
  <ignoredErrors>
    <ignoredError sqref="C18:F18" formulaRange="1"/>
    <ignoredError sqref="G15 G17:G18" formula="1" formulaRange="1"/>
    <ignoredError sqref="G19:G21"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6"/>
  <sheetViews>
    <sheetView showGridLines="0" zoomScale="70" zoomScaleNormal="70" workbookViewId="0">
      <pane xSplit="2" ySplit="7" topLeftCell="C8" activePane="bottomRight" state="frozen"/>
      <selection activeCell="G24" sqref="G24"/>
      <selection pane="topRight" activeCell="G24" sqref="G24"/>
      <selection pane="bottomLeft" activeCell="G24" sqref="G24"/>
      <selection pane="bottomRight" activeCell="C8" sqref="C8:G21"/>
    </sheetView>
  </sheetViews>
  <sheetFormatPr defaultColWidth="9.21875" defaultRowHeight="13.8"/>
  <cols>
    <col min="1" max="1" width="11.77734375" style="9" bestFit="1" customWidth="1"/>
    <col min="2" max="2" width="105.21875" style="9" bestFit="1" customWidth="1"/>
    <col min="3" max="8" width="15" style="9" customWidth="1"/>
    <col min="9" max="9" width="13" style="714" customWidth="1"/>
    <col min="10" max="16384" width="9.21875" style="9"/>
  </cols>
  <sheetData>
    <row r="1" spans="1:8">
      <c r="A1" s="342" t="s">
        <v>869</v>
      </c>
      <c r="B1" s="344" t="str">
        <f>Info!C2</f>
        <v>კრისტალი</v>
      </c>
    </row>
    <row r="2" spans="1:8">
      <c r="A2" s="342" t="s">
        <v>88</v>
      </c>
      <c r="B2" s="343">
        <f>'1. key ratios'!B2</f>
        <v>46022</v>
      </c>
    </row>
    <row r="3" spans="1:8">
      <c r="A3" s="545" t="s">
        <v>424</v>
      </c>
    </row>
    <row r="5" spans="1:8">
      <c r="A5" s="836" t="s">
        <v>425</v>
      </c>
      <c r="B5" s="837"/>
      <c r="C5" s="842" t="s">
        <v>426</v>
      </c>
      <c r="D5" s="843"/>
      <c r="E5" s="843"/>
      <c r="F5" s="843"/>
      <c r="G5" s="843"/>
      <c r="H5" s="844"/>
    </row>
    <row r="6" spans="1:8">
      <c r="A6" s="838"/>
      <c r="B6" s="839"/>
      <c r="C6" s="845"/>
      <c r="D6" s="846"/>
      <c r="E6" s="846"/>
      <c r="F6" s="846"/>
      <c r="G6" s="846"/>
      <c r="H6" s="847"/>
    </row>
    <row r="7" spans="1:8" ht="41.4">
      <c r="A7" s="840"/>
      <c r="B7" s="841"/>
      <c r="C7" s="475" t="s">
        <v>427</v>
      </c>
      <c r="D7" s="475" t="s">
        <v>428</v>
      </c>
      <c r="E7" s="475" t="s">
        <v>429</v>
      </c>
      <c r="F7" s="475" t="s">
        <v>430</v>
      </c>
      <c r="G7" s="475" t="s">
        <v>606</v>
      </c>
      <c r="H7" s="475" t="s">
        <v>59</v>
      </c>
    </row>
    <row r="8" spans="1:8">
      <c r="A8" s="476">
        <v>1</v>
      </c>
      <c r="B8" s="477" t="s">
        <v>107</v>
      </c>
      <c r="C8" s="347">
        <v>0</v>
      </c>
      <c r="D8" s="347">
        <v>16374129.880000001</v>
      </c>
      <c r="E8" s="347">
        <v>0</v>
      </c>
      <c r="F8" s="347">
        <v>0</v>
      </c>
      <c r="G8" s="347">
        <v>0</v>
      </c>
      <c r="H8" s="694">
        <f t="shared" ref="H8:H20" si="0">SUM(C8:G8)</f>
        <v>16374129.880000001</v>
      </c>
    </row>
    <row r="9" spans="1:8">
      <c r="A9" s="476">
        <v>2</v>
      </c>
      <c r="B9" s="477" t="s">
        <v>108</v>
      </c>
      <c r="C9" s="347">
        <v>0</v>
      </c>
      <c r="D9" s="347">
        <v>0</v>
      </c>
      <c r="E9" s="347">
        <v>0</v>
      </c>
      <c r="F9" s="347">
        <v>0</v>
      </c>
      <c r="G9" s="347">
        <v>0</v>
      </c>
      <c r="H9" s="694">
        <f t="shared" si="0"/>
        <v>0</v>
      </c>
    </row>
    <row r="10" spans="1:8">
      <c r="A10" s="476">
        <v>3</v>
      </c>
      <c r="B10" s="477" t="s">
        <v>109</v>
      </c>
      <c r="C10" s="347">
        <v>0</v>
      </c>
      <c r="D10" s="347">
        <v>0</v>
      </c>
      <c r="E10" s="347">
        <v>0</v>
      </c>
      <c r="F10" s="347">
        <v>0</v>
      </c>
      <c r="G10" s="347">
        <v>0</v>
      </c>
      <c r="H10" s="694">
        <f t="shared" si="0"/>
        <v>0</v>
      </c>
    </row>
    <row r="11" spans="1:8">
      <c r="A11" s="476">
        <v>4</v>
      </c>
      <c r="B11" s="477" t="s">
        <v>110</v>
      </c>
      <c r="C11" s="347">
        <v>0</v>
      </c>
      <c r="D11" s="347">
        <v>0</v>
      </c>
      <c r="E11" s="347">
        <v>0</v>
      </c>
      <c r="F11" s="347">
        <v>0</v>
      </c>
      <c r="G11" s="347">
        <v>0</v>
      </c>
      <c r="H11" s="694">
        <f t="shared" si="0"/>
        <v>0</v>
      </c>
    </row>
    <row r="12" spans="1:8">
      <c r="A12" s="476">
        <v>5</v>
      </c>
      <c r="B12" s="477" t="s">
        <v>853</v>
      </c>
      <c r="C12" s="347">
        <v>0</v>
      </c>
      <c r="D12" s="347">
        <v>0</v>
      </c>
      <c r="E12" s="347">
        <v>0</v>
      </c>
      <c r="F12" s="347">
        <v>0</v>
      </c>
      <c r="G12" s="347">
        <v>0</v>
      </c>
      <c r="H12" s="694">
        <f t="shared" si="0"/>
        <v>0</v>
      </c>
    </row>
    <row r="13" spans="1:8">
      <c r="A13" s="476">
        <v>6</v>
      </c>
      <c r="B13" s="477" t="s">
        <v>913</v>
      </c>
      <c r="C13" s="347">
        <v>0</v>
      </c>
      <c r="D13" s="347">
        <v>11421697.810999999</v>
      </c>
      <c r="E13" s="347">
        <v>188384</v>
      </c>
      <c r="F13" s="347">
        <v>0</v>
      </c>
      <c r="G13" s="347">
        <v>0</v>
      </c>
      <c r="H13" s="694">
        <f t="shared" si="0"/>
        <v>11610081.810999999</v>
      </c>
    </row>
    <row r="14" spans="1:8">
      <c r="A14" s="476">
        <v>7</v>
      </c>
      <c r="B14" s="477" t="s">
        <v>64</v>
      </c>
      <c r="C14" s="347">
        <v>0</v>
      </c>
      <c r="D14" s="709">
        <v>0</v>
      </c>
      <c r="E14" s="709">
        <v>0</v>
      </c>
      <c r="F14" s="709">
        <v>0</v>
      </c>
      <c r="G14" s="347">
        <v>0</v>
      </c>
      <c r="H14" s="694">
        <f t="shared" si="0"/>
        <v>0</v>
      </c>
    </row>
    <row r="15" spans="1:8">
      <c r="A15" s="476">
        <v>8</v>
      </c>
      <c r="B15" s="478" t="s">
        <v>65</v>
      </c>
      <c r="C15" s="347">
        <v>0</v>
      </c>
      <c r="D15" s="709">
        <v>300736484.27601415</v>
      </c>
      <c r="E15" s="709">
        <v>263247927.39750972</v>
      </c>
      <c r="F15" s="709">
        <v>4073379.7106975764</v>
      </c>
      <c r="G15" s="347">
        <v>0</v>
      </c>
      <c r="H15" s="694">
        <f t="shared" si="0"/>
        <v>568057791.38422143</v>
      </c>
    </row>
    <row r="16" spans="1:8">
      <c r="A16" s="476">
        <v>9</v>
      </c>
      <c r="B16" s="477" t="s">
        <v>854</v>
      </c>
      <c r="C16" s="347">
        <v>0</v>
      </c>
      <c r="D16" s="709">
        <v>0</v>
      </c>
      <c r="E16" s="709">
        <v>0</v>
      </c>
      <c r="F16" s="709">
        <v>0</v>
      </c>
      <c r="G16" s="347">
        <v>0</v>
      </c>
      <c r="H16" s="694">
        <f t="shared" si="0"/>
        <v>0</v>
      </c>
    </row>
    <row r="17" spans="1:8">
      <c r="A17" s="476">
        <v>10</v>
      </c>
      <c r="B17" s="479" t="s">
        <v>445</v>
      </c>
      <c r="C17" s="347">
        <v>0</v>
      </c>
      <c r="D17" s="709">
        <v>6148195.4779995885</v>
      </c>
      <c r="E17" s="709">
        <v>5326547.1060496913</v>
      </c>
      <c r="F17" s="709">
        <v>85634.063423681102</v>
      </c>
      <c r="G17" s="347">
        <v>0</v>
      </c>
      <c r="H17" s="694">
        <f t="shared" si="0"/>
        <v>11560376.647472963</v>
      </c>
    </row>
    <row r="18" spans="1:8">
      <c r="A18" s="476">
        <v>11</v>
      </c>
      <c r="B18" s="477" t="s">
        <v>61</v>
      </c>
      <c r="C18" s="347">
        <v>0</v>
      </c>
      <c r="D18" s="347">
        <v>0</v>
      </c>
      <c r="E18" s="347">
        <v>0</v>
      </c>
      <c r="F18" s="347">
        <v>0</v>
      </c>
      <c r="G18" s="347">
        <v>0</v>
      </c>
      <c r="H18" s="694">
        <f t="shared" si="0"/>
        <v>0</v>
      </c>
    </row>
    <row r="19" spans="1:8">
      <c r="A19" s="476">
        <v>12</v>
      </c>
      <c r="B19" s="477" t="s">
        <v>62</v>
      </c>
      <c r="C19" s="347">
        <v>0</v>
      </c>
      <c r="D19" s="347">
        <v>0</v>
      </c>
      <c r="E19" s="347">
        <v>0</v>
      </c>
      <c r="F19" s="347">
        <v>0</v>
      </c>
      <c r="G19" s="347">
        <v>0</v>
      </c>
      <c r="H19" s="694">
        <f t="shared" si="0"/>
        <v>0</v>
      </c>
    </row>
    <row r="20" spans="1:8">
      <c r="A20" s="480">
        <v>13</v>
      </c>
      <c r="B20" s="478" t="s">
        <v>63</v>
      </c>
      <c r="C20" s="347">
        <v>0</v>
      </c>
      <c r="D20" s="347">
        <v>0</v>
      </c>
      <c r="E20" s="347">
        <v>0</v>
      </c>
      <c r="F20" s="347">
        <v>0</v>
      </c>
      <c r="G20" s="347">
        <v>0</v>
      </c>
      <c r="H20" s="694">
        <f t="shared" si="0"/>
        <v>0</v>
      </c>
    </row>
    <row r="21" spans="1:8">
      <c r="A21" s="476">
        <v>14</v>
      </c>
      <c r="B21" s="477" t="s">
        <v>431</v>
      </c>
      <c r="C21" s="347">
        <v>29517349.413499996</v>
      </c>
      <c r="D21" s="347">
        <v>0</v>
      </c>
      <c r="E21" s="347">
        <v>0</v>
      </c>
      <c r="F21" s="347">
        <v>0</v>
      </c>
      <c r="G21" s="347">
        <v>36809511.117600001</v>
      </c>
      <c r="H21" s="694">
        <f>SUM(C21:G21)</f>
        <v>66326860.531099997</v>
      </c>
    </row>
    <row r="22" spans="1:8">
      <c r="A22" s="481">
        <v>15</v>
      </c>
      <c r="B22" s="695" t="s">
        <v>59</v>
      </c>
      <c r="C22" s="694">
        <f>SUM(C18:C21)+SUM(C8:C16)</f>
        <v>29517349.413499996</v>
      </c>
      <c r="D22" s="694">
        <f t="shared" ref="D22:H22" si="1">SUM(D18:D21)+SUM(D8:D16)</f>
        <v>328532311.96701413</v>
      </c>
      <c r="E22" s="694">
        <f t="shared" si="1"/>
        <v>263436311.39750972</v>
      </c>
      <c r="F22" s="694">
        <f t="shared" si="1"/>
        <v>4073379.7106975764</v>
      </c>
      <c r="G22" s="694">
        <f t="shared" si="1"/>
        <v>36809511.117600001</v>
      </c>
      <c r="H22" s="694">
        <f t="shared" si="1"/>
        <v>662368863.60632145</v>
      </c>
    </row>
    <row r="23" spans="1:8">
      <c r="D23" s="693"/>
      <c r="E23" s="693"/>
      <c r="F23" s="693"/>
    </row>
    <row r="24" spans="1:8">
      <c r="D24" s="693"/>
      <c r="E24" s="693"/>
      <c r="F24" s="693"/>
    </row>
    <row r="26" spans="1:8" ht="41.4">
      <c r="B26" s="696" t="s">
        <v>605</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7"/>
  <sheetViews>
    <sheetView showGridLines="0" zoomScale="80" zoomScaleNormal="80" workbookViewId="0">
      <pane xSplit="2" ySplit="6" topLeftCell="C7" activePane="bottomRight" state="frozen"/>
      <selection activeCell="G24" sqref="G24"/>
      <selection pane="topRight" activeCell="G24" sqref="G24"/>
      <selection pane="bottomLeft" activeCell="G24" sqref="G24"/>
      <selection pane="bottomRight" activeCell="C7" sqref="C7:G23"/>
    </sheetView>
  </sheetViews>
  <sheetFormatPr defaultColWidth="9.21875" defaultRowHeight="12"/>
  <cols>
    <col min="1" max="1" width="11.77734375" style="525" bestFit="1" customWidth="1"/>
    <col min="2" max="2" width="86.5546875" style="521" customWidth="1"/>
    <col min="3" max="4" width="31.5546875" style="521" customWidth="1"/>
    <col min="5" max="5" width="16.44140625" style="521" bestFit="1" customWidth="1"/>
    <col min="6" max="6" width="14.21875" style="521" bestFit="1" customWidth="1"/>
    <col min="7" max="7" width="20" style="521" bestFit="1" customWidth="1"/>
    <col min="8" max="8" width="25.21875" style="521" bestFit="1" customWidth="1"/>
    <col min="9" max="16384" width="9.21875" style="521"/>
  </cols>
  <sheetData>
    <row r="1" spans="1:8" ht="13.8">
      <c r="A1" s="342" t="s">
        <v>869</v>
      </c>
      <c r="B1" s="344" t="str">
        <f>Info!C2</f>
        <v>კრისტალი</v>
      </c>
      <c r="C1" s="509"/>
      <c r="D1" s="509"/>
      <c r="E1" s="509"/>
      <c r="F1" s="509"/>
      <c r="G1" s="509"/>
      <c r="H1" s="509"/>
    </row>
    <row r="2" spans="1:8" ht="13.8">
      <c r="A2" s="342" t="s">
        <v>88</v>
      </c>
      <c r="B2" s="343">
        <f>'1. key ratios'!B2</f>
        <v>46022</v>
      </c>
      <c r="C2" s="509"/>
      <c r="D2" s="509"/>
      <c r="E2" s="509"/>
      <c r="F2" s="509"/>
      <c r="G2" s="509"/>
      <c r="H2" s="509"/>
    </row>
    <row r="3" spans="1:8">
      <c r="A3" s="510" t="s">
        <v>432</v>
      </c>
      <c r="B3" s="509"/>
      <c r="C3" s="509"/>
      <c r="D3" s="509"/>
      <c r="E3" s="509"/>
      <c r="F3" s="509"/>
      <c r="G3" s="509"/>
      <c r="H3" s="509"/>
    </row>
    <row r="4" spans="1:8">
      <c r="A4" s="128"/>
      <c r="B4" s="509"/>
      <c r="C4" s="69" t="s">
        <v>433</v>
      </c>
      <c r="D4" s="69" t="s">
        <v>434</v>
      </c>
      <c r="E4" s="69" t="s">
        <v>435</v>
      </c>
      <c r="F4" s="69" t="s">
        <v>436</v>
      </c>
      <c r="G4" s="69" t="s">
        <v>437</v>
      </c>
      <c r="H4" s="69" t="s">
        <v>438</v>
      </c>
    </row>
    <row r="5" spans="1:8" ht="34.049999999999997" customHeight="1">
      <c r="A5" s="850" t="s">
        <v>778</v>
      </c>
      <c r="B5" s="851"/>
      <c r="C5" s="854" t="s">
        <v>526</v>
      </c>
      <c r="D5" s="854"/>
      <c r="E5" s="854" t="s">
        <v>777</v>
      </c>
      <c r="F5" s="848" t="s">
        <v>776</v>
      </c>
      <c r="G5" s="848" t="s">
        <v>442</v>
      </c>
      <c r="H5" s="67" t="s">
        <v>775</v>
      </c>
    </row>
    <row r="6" spans="1:8" ht="24">
      <c r="A6" s="852"/>
      <c r="B6" s="853"/>
      <c r="C6" s="68" t="s">
        <v>443</v>
      </c>
      <c r="D6" s="68" t="s">
        <v>444</v>
      </c>
      <c r="E6" s="854"/>
      <c r="F6" s="849"/>
      <c r="G6" s="849"/>
      <c r="H6" s="67" t="s">
        <v>774</v>
      </c>
    </row>
    <row r="7" spans="1:8">
      <c r="A7" s="320">
        <v>1</v>
      </c>
      <c r="B7" s="317" t="s">
        <v>107</v>
      </c>
      <c r="C7" s="518">
        <v>0</v>
      </c>
      <c r="D7" s="518">
        <v>16374129.880000001</v>
      </c>
      <c r="E7" s="518">
        <v>0</v>
      </c>
      <c r="F7" s="518">
        <v>0</v>
      </c>
      <c r="G7" s="518">
        <v>0</v>
      </c>
      <c r="H7" s="522">
        <f t="shared" ref="H7:H20" si="0">C7+D7-E7-F7</f>
        <v>16374129.880000001</v>
      </c>
    </row>
    <row r="8" spans="1:8" ht="24">
      <c r="A8" s="320">
        <v>2</v>
      </c>
      <c r="B8" s="317" t="s">
        <v>108</v>
      </c>
      <c r="C8" s="518">
        <v>0</v>
      </c>
      <c r="D8" s="518">
        <v>0</v>
      </c>
      <c r="E8" s="518">
        <v>0</v>
      </c>
      <c r="F8" s="518">
        <v>0</v>
      </c>
      <c r="G8" s="518">
        <v>0</v>
      </c>
      <c r="H8" s="522">
        <f t="shared" si="0"/>
        <v>0</v>
      </c>
    </row>
    <row r="9" spans="1:8">
      <c r="A9" s="320">
        <v>3</v>
      </c>
      <c r="B9" s="317" t="s">
        <v>109</v>
      </c>
      <c r="C9" s="518">
        <v>0</v>
      </c>
      <c r="D9" s="518">
        <v>0</v>
      </c>
      <c r="E9" s="518">
        <v>0</v>
      </c>
      <c r="F9" s="518">
        <v>0</v>
      </c>
      <c r="G9" s="518">
        <v>0</v>
      </c>
      <c r="H9" s="522">
        <f t="shared" si="0"/>
        <v>0</v>
      </c>
    </row>
    <row r="10" spans="1:8">
      <c r="A10" s="320">
        <v>4</v>
      </c>
      <c r="B10" s="317" t="s">
        <v>110</v>
      </c>
      <c r="C10" s="518">
        <v>0</v>
      </c>
      <c r="D10" s="518">
        <v>0</v>
      </c>
      <c r="E10" s="518">
        <v>0</v>
      </c>
      <c r="F10" s="518">
        <v>0</v>
      </c>
      <c r="G10" s="518">
        <v>0</v>
      </c>
      <c r="H10" s="522">
        <f t="shared" si="0"/>
        <v>0</v>
      </c>
    </row>
    <row r="11" spans="1:8">
      <c r="A11" s="320">
        <v>5</v>
      </c>
      <c r="B11" s="317" t="s">
        <v>853</v>
      </c>
      <c r="C11" s="518">
        <v>0</v>
      </c>
      <c r="D11" s="518">
        <v>0</v>
      </c>
      <c r="E11" s="518">
        <v>0</v>
      </c>
      <c r="F11" s="518">
        <v>0</v>
      </c>
      <c r="G11" s="518">
        <v>0</v>
      </c>
      <c r="H11" s="522">
        <f t="shared" si="0"/>
        <v>0</v>
      </c>
    </row>
    <row r="12" spans="1:8">
      <c r="A12" s="320">
        <v>6</v>
      </c>
      <c r="B12" s="317" t="s">
        <v>913</v>
      </c>
      <c r="C12" s="518">
        <v>0</v>
      </c>
      <c r="D12" s="518">
        <v>11610081.810999999</v>
      </c>
      <c r="E12" s="518">
        <v>0</v>
      </c>
      <c r="F12" s="518">
        <v>0</v>
      </c>
      <c r="G12" s="518">
        <v>0</v>
      </c>
      <c r="H12" s="522">
        <f t="shared" si="0"/>
        <v>11610081.810999999</v>
      </c>
    </row>
    <row r="13" spans="1:8">
      <c r="A13" s="320">
        <v>7</v>
      </c>
      <c r="B13" s="317" t="s">
        <v>64</v>
      </c>
      <c r="C13" s="518">
        <v>0</v>
      </c>
      <c r="D13" s="518">
        <v>0</v>
      </c>
      <c r="E13" s="518">
        <v>0</v>
      </c>
      <c r="F13" s="518">
        <v>0</v>
      </c>
      <c r="G13" s="518">
        <v>0</v>
      </c>
      <c r="H13" s="522">
        <f t="shared" si="0"/>
        <v>0</v>
      </c>
    </row>
    <row r="14" spans="1:8">
      <c r="A14" s="320">
        <v>8</v>
      </c>
      <c r="B14" s="318" t="s">
        <v>65</v>
      </c>
      <c r="C14" s="518">
        <v>22800565.194799166</v>
      </c>
      <c r="D14" s="710">
        <v>566788887.60458732</v>
      </c>
      <c r="E14" s="518">
        <v>21531660.714340914</v>
      </c>
      <c r="F14" s="518">
        <v>0</v>
      </c>
      <c r="G14" s="710">
        <v>5917704.0100000119</v>
      </c>
      <c r="H14" s="522">
        <f t="shared" si="0"/>
        <v>568057792.08504558</v>
      </c>
    </row>
    <row r="15" spans="1:8">
      <c r="A15" s="320">
        <v>9</v>
      </c>
      <c r="B15" s="317" t="s">
        <v>854</v>
      </c>
      <c r="C15" s="518">
        <v>0</v>
      </c>
      <c r="D15" s="518">
        <v>0</v>
      </c>
      <c r="E15" s="518">
        <v>0</v>
      </c>
      <c r="F15" s="518">
        <v>0</v>
      </c>
      <c r="G15" s="518">
        <v>0</v>
      </c>
      <c r="H15" s="522">
        <f t="shared" si="0"/>
        <v>0</v>
      </c>
    </row>
    <row r="16" spans="1:8">
      <c r="A16" s="320">
        <v>10</v>
      </c>
      <c r="B16" s="319" t="s">
        <v>445</v>
      </c>
      <c r="C16" s="518">
        <v>12034710.526518622</v>
      </c>
      <c r="D16" s="518">
        <v>9292014.8609543238</v>
      </c>
      <c r="E16" s="518">
        <v>9766348.7399999779</v>
      </c>
      <c r="F16" s="518">
        <v>0</v>
      </c>
      <c r="G16" s="518">
        <v>0</v>
      </c>
      <c r="H16" s="522">
        <f t="shared" si="0"/>
        <v>11560376.647472968</v>
      </c>
    </row>
    <row r="17" spans="1:9">
      <c r="A17" s="320">
        <v>11</v>
      </c>
      <c r="B17" s="317" t="s">
        <v>61</v>
      </c>
      <c r="C17" s="518">
        <v>0</v>
      </c>
      <c r="D17" s="518">
        <v>0</v>
      </c>
      <c r="E17" s="518">
        <v>0</v>
      </c>
      <c r="F17" s="518">
        <v>0</v>
      </c>
      <c r="G17" s="518">
        <v>0</v>
      </c>
      <c r="H17" s="522">
        <f t="shared" si="0"/>
        <v>0</v>
      </c>
    </row>
    <row r="18" spans="1:9">
      <c r="A18" s="320">
        <v>12</v>
      </c>
      <c r="B18" s="317" t="s">
        <v>62</v>
      </c>
      <c r="C18" s="518">
        <v>0</v>
      </c>
      <c r="D18" s="518">
        <v>0</v>
      </c>
      <c r="E18" s="518">
        <v>0</v>
      </c>
      <c r="F18" s="518">
        <v>0</v>
      </c>
      <c r="G18" s="518">
        <v>0</v>
      </c>
      <c r="H18" s="522">
        <f t="shared" si="0"/>
        <v>0</v>
      </c>
    </row>
    <row r="19" spans="1:9">
      <c r="A19" s="321">
        <v>13</v>
      </c>
      <c r="B19" s="318" t="s">
        <v>63</v>
      </c>
      <c r="C19" s="518">
        <v>0</v>
      </c>
      <c r="D19" s="518">
        <v>0</v>
      </c>
      <c r="E19" s="518">
        <v>0</v>
      </c>
      <c r="F19" s="518">
        <v>0</v>
      </c>
      <c r="G19" s="518">
        <v>0</v>
      </c>
      <c r="H19" s="522">
        <f t="shared" si="0"/>
        <v>0</v>
      </c>
    </row>
    <row r="20" spans="1:9">
      <c r="A20" s="320">
        <v>14</v>
      </c>
      <c r="B20" s="317" t="s">
        <v>431</v>
      </c>
      <c r="C20" s="518">
        <v>0</v>
      </c>
      <c r="D20" s="518">
        <v>66562964.141100004</v>
      </c>
      <c r="E20" s="518">
        <v>236103.61</v>
      </c>
      <c r="F20" s="518">
        <v>0</v>
      </c>
      <c r="G20" s="518">
        <v>0</v>
      </c>
      <c r="H20" s="522">
        <f t="shared" si="0"/>
        <v>66326860.531100005</v>
      </c>
    </row>
    <row r="21" spans="1:9" s="523" customFormat="1">
      <c r="A21" s="322">
        <v>15</v>
      </c>
      <c r="B21" s="513" t="s">
        <v>59</v>
      </c>
      <c r="C21" s="514">
        <v>22800565.194799166</v>
      </c>
      <c r="D21" s="514">
        <v>661336063.43668735</v>
      </c>
      <c r="E21" s="514">
        <v>21767764.324340913</v>
      </c>
      <c r="F21" s="514">
        <v>0</v>
      </c>
      <c r="G21" s="514">
        <v>5917704.0100000119</v>
      </c>
      <c r="H21" s="715">
        <f t="shared" ref="H21" si="1">SUM(H7:H15)+SUM(H17:H20)</f>
        <v>662368864.3071456</v>
      </c>
      <c r="I21" s="521"/>
    </row>
    <row r="22" spans="1:9">
      <c r="A22" s="524">
        <v>16</v>
      </c>
      <c r="B22" s="516" t="s">
        <v>446</v>
      </c>
      <c r="C22" s="518">
        <v>20006944.639271829</v>
      </c>
      <c r="D22" s="710">
        <v>550460975.96482348</v>
      </c>
      <c r="E22" s="518">
        <v>20756864.999999393</v>
      </c>
      <c r="F22" s="518">
        <v>0</v>
      </c>
      <c r="G22" s="710">
        <v>5917704.0100000119</v>
      </c>
      <c r="H22" s="522">
        <f>C22+D22-E22-F22</f>
        <v>549711055.60409594</v>
      </c>
    </row>
    <row r="23" spans="1:9">
      <c r="A23" s="524">
        <v>17</v>
      </c>
      <c r="B23" s="516" t="s">
        <v>447</v>
      </c>
      <c r="C23" s="518">
        <v>0</v>
      </c>
      <c r="D23" s="518">
        <v>0</v>
      </c>
      <c r="E23" s="518">
        <v>0</v>
      </c>
      <c r="F23" s="518">
        <v>0</v>
      </c>
      <c r="G23" s="518">
        <v>0</v>
      </c>
      <c r="H23" s="522">
        <f>C23+D23-E23-F23</f>
        <v>0</v>
      </c>
    </row>
    <row r="24" spans="1:9">
      <c r="C24" s="711"/>
      <c r="D24" s="526"/>
      <c r="E24" s="526"/>
    </row>
    <row r="25" spans="1:9">
      <c r="D25" s="712"/>
      <c r="E25" s="713"/>
      <c r="F25" s="713"/>
      <c r="G25" s="713"/>
    </row>
    <row r="26" spans="1:9" ht="42.45" customHeight="1">
      <c r="B26" s="527" t="s">
        <v>605</v>
      </c>
      <c r="D26" s="712"/>
      <c r="E26" s="712"/>
      <c r="F26" s="713"/>
      <c r="G26" s="712"/>
    </row>
    <row r="27" spans="1:9">
      <c r="C27" s="728"/>
      <c r="D27" s="728"/>
      <c r="E27" s="728"/>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36"/>
  <sheetViews>
    <sheetView showGridLines="0" zoomScale="80" zoomScaleNormal="80" workbookViewId="0">
      <pane xSplit="2" ySplit="6" topLeftCell="C7" activePane="bottomRight" state="frozen"/>
      <selection activeCell="G24" sqref="G24"/>
      <selection pane="topRight" activeCell="G24" sqref="G24"/>
      <selection pane="bottomLeft" activeCell="G24" sqref="G24"/>
      <selection pane="bottomRight" activeCell="C38" sqref="C38"/>
    </sheetView>
  </sheetViews>
  <sheetFormatPr defaultColWidth="9.21875" defaultRowHeight="12"/>
  <cols>
    <col min="1" max="1" width="12.77734375" style="521" bestFit="1" customWidth="1"/>
    <col min="2" max="2" width="59.88671875" style="521" bestFit="1" customWidth="1"/>
    <col min="3" max="4" width="35" style="521" customWidth="1"/>
    <col min="5" max="7" width="22" style="521" customWidth="1"/>
    <col min="8" max="8" width="42.21875" style="521" bestFit="1" customWidth="1"/>
    <col min="9" max="9" width="9.21875" style="521"/>
    <col min="10" max="10" width="12.6640625" style="521" customWidth="1"/>
    <col min="11" max="11" width="11.6640625" style="521" bestFit="1" customWidth="1"/>
    <col min="12" max="16384" width="9.21875" style="521"/>
  </cols>
  <sheetData>
    <row r="1" spans="1:8" ht="13.8">
      <c r="A1" s="342" t="s">
        <v>869</v>
      </c>
      <c r="B1" s="344" t="str">
        <f>Info!C2</f>
        <v>კრისტალი</v>
      </c>
      <c r="C1" s="509"/>
      <c r="D1" s="509"/>
      <c r="E1" s="509"/>
      <c r="F1" s="509"/>
      <c r="G1" s="509"/>
      <c r="H1" s="509"/>
    </row>
    <row r="2" spans="1:8" ht="13.8">
      <c r="A2" s="342" t="s">
        <v>88</v>
      </c>
      <c r="B2" s="343">
        <f>'1. key ratios'!B2</f>
        <v>46022</v>
      </c>
      <c r="C2" s="509"/>
      <c r="D2" s="509"/>
      <c r="E2" s="509"/>
      <c r="F2" s="509"/>
      <c r="G2" s="509"/>
      <c r="H2" s="509"/>
    </row>
    <row r="3" spans="1:8">
      <c r="A3" s="510" t="s">
        <v>448</v>
      </c>
      <c r="B3" s="509"/>
      <c r="C3" s="509"/>
      <c r="D3" s="509"/>
      <c r="E3" s="509"/>
      <c r="F3" s="509"/>
      <c r="G3" s="509"/>
      <c r="H3" s="509"/>
    </row>
    <row r="4" spans="1:8">
      <c r="A4" s="509"/>
      <c r="B4" s="509"/>
      <c r="C4" s="69" t="s">
        <v>433</v>
      </c>
      <c r="D4" s="69" t="s">
        <v>434</v>
      </c>
      <c r="E4" s="69" t="s">
        <v>435</v>
      </c>
      <c r="F4" s="69" t="s">
        <v>436</v>
      </c>
      <c r="G4" s="69" t="s">
        <v>437</v>
      </c>
      <c r="H4" s="69" t="s">
        <v>438</v>
      </c>
    </row>
    <row r="5" spans="1:8">
      <c r="A5" s="850" t="s">
        <v>780</v>
      </c>
      <c r="B5" s="851"/>
      <c r="C5" s="855" t="s">
        <v>526</v>
      </c>
      <c r="D5" s="856"/>
      <c r="E5" s="848" t="s">
        <v>777</v>
      </c>
      <c r="F5" s="848" t="s">
        <v>776</v>
      </c>
      <c r="G5" s="848" t="s">
        <v>442</v>
      </c>
      <c r="H5" s="67" t="s">
        <v>775</v>
      </c>
    </row>
    <row r="6" spans="1:8" ht="43.8" customHeight="1">
      <c r="A6" s="852"/>
      <c r="B6" s="853"/>
      <c r="C6" s="68" t="s">
        <v>443</v>
      </c>
      <c r="D6" s="68" t="s">
        <v>444</v>
      </c>
      <c r="E6" s="849"/>
      <c r="F6" s="849"/>
      <c r="G6" s="849"/>
      <c r="H6" s="67" t="s">
        <v>774</v>
      </c>
    </row>
    <row r="7" spans="1:8">
      <c r="A7" s="515">
        <v>1</v>
      </c>
      <c r="B7" s="71" t="s">
        <v>449</v>
      </c>
      <c r="C7" s="518">
        <v>0</v>
      </c>
      <c r="D7" s="518">
        <v>0</v>
      </c>
      <c r="E7" s="518">
        <v>0</v>
      </c>
      <c r="F7" s="518">
        <v>0</v>
      </c>
      <c r="G7" s="518">
        <v>0</v>
      </c>
      <c r="H7" s="522">
        <f t="shared" ref="H7:H34" si="0">C7+D7-E7-F7</f>
        <v>0</v>
      </c>
    </row>
    <row r="8" spans="1:8">
      <c r="A8" s="515">
        <v>2</v>
      </c>
      <c r="B8" s="71" t="s">
        <v>450</v>
      </c>
      <c r="C8" s="518">
        <v>0</v>
      </c>
      <c r="D8" s="518">
        <v>27984211.691</v>
      </c>
      <c r="E8" s="518">
        <v>0</v>
      </c>
      <c r="F8" s="518">
        <v>0</v>
      </c>
      <c r="G8" s="518">
        <v>0</v>
      </c>
      <c r="H8" s="522">
        <f t="shared" si="0"/>
        <v>27984211.691</v>
      </c>
    </row>
    <row r="9" spans="1:8">
      <c r="A9" s="515">
        <v>3</v>
      </c>
      <c r="B9" s="71" t="s">
        <v>779</v>
      </c>
      <c r="C9" s="518">
        <v>0</v>
      </c>
      <c r="D9" s="518">
        <v>0</v>
      </c>
      <c r="E9" s="518">
        <v>0</v>
      </c>
      <c r="F9" s="518">
        <v>0</v>
      </c>
      <c r="G9" s="518">
        <v>0</v>
      </c>
      <c r="H9" s="522">
        <f t="shared" si="0"/>
        <v>0</v>
      </c>
    </row>
    <row r="10" spans="1:8">
      <c r="A10" s="515">
        <v>4</v>
      </c>
      <c r="B10" s="71" t="s">
        <v>451</v>
      </c>
      <c r="C10" s="518">
        <v>0</v>
      </c>
      <c r="D10" s="518">
        <v>0</v>
      </c>
      <c r="E10" s="518">
        <v>0</v>
      </c>
      <c r="F10" s="518">
        <v>0</v>
      </c>
      <c r="G10" s="518">
        <v>0</v>
      </c>
      <c r="H10" s="522">
        <f t="shared" si="0"/>
        <v>0</v>
      </c>
    </row>
    <row r="11" spans="1:8">
      <c r="A11" s="515">
        <v>5</v>
      </c>
      <c r="B11" s="71" t="s">
        <v>452</v>
      </c>
      <c r="C11" s="518">
        <v>0</v>
      </c>
      <c r="D11" s="518">
        <v>0</v>
      </c>
      <c r="E11" s="518">
        <v>0</v>
      </c>
      <c r="F11" s="518">
        <v>0</v>
      </c>
      <c r="G11" s="518">
        <v>0</v>
      </c>
      <c r="H11" s="522">
        <f t="shared" si="0"/>
        <v>0</v>
      </c>
    </row>
    <row r="12" spans="1:8">
      <c r="A12" s="515">
        <v>6</v>
      </c>
      <c r="B12" s="71" t="s">
        <v>453</v>
      </c>
      <c r="C12" s="518">
        <v>0</v>
      </c>
      <c r="D12" s="518">
        <v>0</v>
      </c>
      <c r="E12" s="518">
        <v>0</v>
      </c>
      <c r="F12" s="518">
        <v>0</v>
      </c>
      <c r="G12" s="518">
        <v>0</v>
      </c>
      <c r="H12" s="522">
        <f t="shared" si="0"/>
        <v>0</v>
      </c>
    </row>
    <row r="13" spans="1:8">
      <c r="A13" s="515">
        <v>7</v>
      </c>
      <c r="B13" s="71" t="s">
        <v>454</v>
      </c>
      <c r="C13" s="518">
        <v>0</v>
      </c>
      <c r="D13" s="518">
        <v>0</v>
      </c>
      <c r="E13" s="518">
        <v>0</v>
      </c>
      <c r="F13" s="518">
        <v>0</v>
      </c>
      <c r="G13" s="518">
        <v>0</v>
      </c>
      <c r="H13" s="522">
        <f t="shared" si="0"/>
        <v>0</v>
      </c>
    </row>
    <row r="14" spans="1:8">
      <c r="A14" s="515">
        <v>8</v>
      </c>
      <c r="B14" s="71" t="s">
        <v>455</v>
      </c>
      <c r="C14" s="518">
        <v>0</v>
      </c>
      <c r="D14" s="518">
        <v>0</v>
      </c>
      <c r="E14" s="518">
        <v>0</v>
      </c>
      <c r="F14" s="518">
        <v>0</v>
      </c>
      <c r="G14" s="518">
        <v>0</v>
      </c>
      <c r="H14" s="522">
        <f t="shared" si="0"/>
        <v>0</v>
      </c>
    </row>
    <row r="15" spans="1:8">
      <c r="A15" s="515">
        <v>9</v>
      </c>
      <c r="B15" s="71" t="s">
        <v>456</v>
      </c>
      <c r="C15" s="518">
        <v>0</v>
      </c>
      <c r="D15" s="518">
        <v>0</v>
      </c>
      <c r="E15" s="518">
        <v>0</v>
      </c>
      <c r="F15" s="518">
        <v>0</v>
      </c>
      <c r="G15" s="518">
        <v>0</v>
      </c>
      <c r="H15" s="522">
        <f t="shared" si="0"/>
        <v>0</v>
      </c>
    </row>
    <row r="16" spans="1:8" ht="24">
      <c r="A16" s="515">
        <v>10</v>
      </c>
      <c r="B16" s="71" t="s">
        <v>457</v>
      </c>
      <c r="C16" s="518">
        <v>0</v>
      </c>
      <c r="D16" s="518">
        <v>0</v>
      </c>
      <c r="E16" s="518">
        <v>0</v>
      </c>
      <c r="F16" s="518">
        <v>0</v>
      </c>
      <c r="G16" s="518">
        <v>0</v>
      </c>
      <c r="H16" s="522">
        <f t="shared" si="0"/>
        <v>0</v>
      </c>
    </row>
    <row r="17" spans="1:8">
      <c r="A17" s="515">
        <v>11</v>
      </c>
      <c r="B17" s="71" t="s">
        <v>458</v>
      </c>
      <c r="C17" s="518">
        <v>0</v>
      </c>
      <c r="D17" s="518">
        <v>0</v>
      </c>
      <c r="E17" s="710">
        <v>0</v>
      </c>
      <c r="F17" s="518">
        <v>0</v>
      </c>
      <c r="G17" s="518">
        <v>0</v>
      </c>
      <c r="H17" s="522">
        <f t="shared" si="0"/>
        <v>0</v>
      </c>
    </row>
    <row r="18" spans="1:8">
      <c r="A18" s="515">
        <v>12</v>
      </c>
      <c r="B18" s="71" t="s">
        <v>459</v>
      </c>
      <c r="C18" s="518">
        <v>2298432.3317371737</v>
      </c>
      <c r="D18" s="518">
        <v>63731778.930838481</v>
      </c>
      <c r="E18" s="710">
        <v>2679100.41</v>
      </c>
      <c r="F18" s="518">
        <v>0</v>
      </c>
      <c r="G18" s="710">
        <v>771283.39999999991</v>
      </c>
      <c r="H18" s="522">
        <f t="shared" si="0"/>
        <v>63351110.85257566</v>
      </c>
    </row>
    <row r="19" spans="1:8">
      <c r="A19" s="515">
        <v>13</v>
      </c>
      <c r="B19" s="71" t="s">
        <v>460</v>
      </c>
      <c r="C19" s="518">
        <v>494360.15733977122</v>
      </c>
      <c r="D19" s="518">
        <v>13872776.989832114</v>
      </c>
      <c r="E19" s="710">
        <v>600374.08000000101</v>
      </c>
      <c r="F19" s="518">
        <v>0</v>
      </c>
      <c r="G19" s="710">
        <v>219539.93000000005</v>
      </c>
      <c r="H19" s="522">
        <f t="shared" si="0"/>
        <v>13766763.067171883</v>
      </c>
    </row>
    <row r="20" spans="1:8">
      <c r="A20" s="515">
        <v>14</v>
      </c>
      <c r="B20" s="71" t="s">
        <v>461</v>
      </c>
      <c r="C20" s="518">
        <v>0</v>
      </c>
      <c r="D20" s="518">
        <v>0</v>
      </c>
      <c r="E20" s="710">
        <v>0</v>
      </c>
      <c r="F20" s="518">
        <v>0</v>
      </c>
      <c r="G20" s="710">
        <v>0</v>
      </c>
      <c r="H20" s="522">
        <f t="shared" si="0"/>
        <v>0</v>
      </c>
    </row>
    <row r="21" spans="1:8">
      <c r="A21" s="515">
        <v>15</v>
      </c>
      <c r="B21" s="71" t="s">
        <v>462</v>
      </c>
      <c r="C21" s="518">
        <v>0</v>
      </c>
      <c r="D21" s="518">
        <v>0</v>
      </c>
      <c r="E21" s="710">
        <v>0</v>
      </c>
      <c r="F21" s="518">
        <v>0</v>
      </c>
      <c r="G21" s="710">
        <v>0</v>
      </c>
      <c r="H21" s="522">
        <f t="shared" si="0"/>
        <v>0</v>
      </c>
    </row>
    <row r="22" spans="1:8">
      <c r="A22" s="515">
        <v>16</v>
      </c>
      <c r="B22" s="71" t="s">
        <v>463</v>
      </c>
      <c r="C22" s="518">
        <v>0</v>
      </c>
      <c r="D22" s="518">
        <v>0</v>
      </c>
      <c r="E22" s="710">
        <v>0</v>
      </c>
      <c r="F22" s="518">
        <v>0</v>
      </c>
      <c r="G22" s="710">
        <v>0</v>
      </c>
      <c r="H22" s="522">
        <f t="shared" si="0"/>
        <v>0</v>
      </c>
    </row>
    <row r="23" spans="1:8">
      <c r="A23" s="515">
        <v>17</v>
      </c>
      <c r="B23" s="71" t="s">
        <v>464</v>
      </c>
      <c r="C23" s="518">
        <v>0</v>
      </c>
      <c r="D23" s="518">
        <v>0</v>
      </c>
      <c r="E23" s="710">
        <v>0</v>
      </c>
      <c r="F23" s="518">
        <v>0</v>
      </c>
      <c r="G23" s="710">
        <v>0</v>
      </c>
      <c r="H23" s="522">
        <f t="shared" si="0"/>
        <v>0</v>
      </c>
    </row>
    <row r="24" spans="1:8">
      <c r="A24" s="515">
        <v>18</v>
      </c>
      <c r="B24" s="71" t="s">
        <v>465</v>
      </c>
      <c r="C24" s="518">
        <v>0</v>
      </c>
      <c r="D24" s="518">
        <v>0</v>
      </c>
      <c r="E24" s="710">
        <v>0</v>
      </c>
      <c r="F24" s="518">
        <v>0</v>
      </c>
      <c r="G24" s="710">
        <v>0</v>
      </c>
      <c r="H24" s="522">
        <f t="shared" si="0"/>
        <v>0</v>
      </c>
    </row>
    <row r="25" spans="1:8">
      <c r="A25" s="515">
        <v>19</v>
      </c>
      <c r="B25" s="71" t="s">
        <v>466</v>
      </c>
      <c r="C25" s="518">
        <v>0</v>
      </c>
      <c r="D25" s="518">
        <v>0</v>
      </c>
      <c r="E25" s="710">
        <v>0</v>
      </c>
      <c r="F25" s="518">
        <v>0</v>
      </c>
      <c r="G25" s="710">
        <v>0</v>
      </c>
      <c r="H25" s="522">
        <f t="shared" si="0"/>
        <v>0</v>
      </c>
    </row>
    <row r="26" spans="1:8">
      <c r="A26" s="515">
        <v>20</v>
      </c>
      <c r="B26" s="71" t="s">
        <v>467</v>
      </c>
      <c r="C26" s="518">
        <v>0</v>
      </c>
      <c r="D26" s="518">
        <v>0</v>
      </c>
      <c r="E26" s="710">
        <v>0</v>
      </c>
      <c r="F26" s="518">
        <v>0</v>
      </c>
      <c r="G26" s="710">
        <v>0</v>
      </c>
      <c r="H26" s="522">
        <f t="shared" si="0"/>
        <v>0</v>
      </c>
    </row>
    <row r="27" spans="1:8">
      <c r="A27" s="515">
        <v>21</v>
      </c>
      <c r="B27" s="71" t="s">
        <v>468</v>
      </c>
      <c r="C27" s="518">
        <v>0</v>
      </c>
      <c r="D27" s="518">
        <v>0</v>
      </c>
      <c r="E27" s="710">
        <v>0</v>
      </c>
      <c r="F27" s="518">
        <v>0</v>
      </c>
      <c r="G27" s="710">
        <v>0</v>
      </c>
      <c r="H27" s="522">
        <f t="shared" si="0"/>
        <v>0</v>
      </c>
    </row>
    <row r="28" spans="1:8">
      <c r="A28" s="515">
        <v>22</v>
      </c>
      <c r="B28" s="71" t="s">
        <v>469</v>
      </c>
      <c r="C28" s="518">
        <v>0</v>
      </c>
      <c r="D28" s="518">
        <v>0</v>
      </c>
      <c r="E28" s="710">
        <v>0</v>
      </c>
      <c r="F28" s="518">
        <v>0</v>
      </c>
      <c r="G28" s="710">
        <v>0</v>
      </c>
      <c r="H28" s="522">
        <f t="shared" si="0"/>
        <v>0</v>
      </c>
    </row>
    <row r="29" spans="1:8">
      <c r="A29" s="515">
        <v>23</v>
      </c>
      <c r="B29" s="71" t="s">
        <v>470</v>
      </c>
      <c r="C29" s="518">
        <v>7209369.0477035185</v>
      </c>
      <c r="D29" s="518">
        <v>163822584.58005399</v>
      </c>
      <c r="E29" s="710">
        <v>7490201.8899999699</v>
      </c>
      <c r="F29" s="518">
        <v>0</v>
      </c>
      <c r="G29" s="710">
        <v>2321563.4299999983</v>
      </c>
      <c r="H29" s="522">
        <f t="shared" si="0"/>
        <v>163541751.73775753</v>
      </c>
    </row>
    <row r="30" spans="1:8">
      <c r="A30" s="515">
        <v>24</v>
      </c>
      <c r="B30" s="71" t="s">
        <v>471</v>
      </c>
      <c r="C30" s="518">
        <v>4565146.4431632934</v>
      </c>
      <c r="D30" s="518">
        <v>92950777.515492648</v>
      </c>
      <c r="E30" s="710">
        <v>4885500.0199999297</v>
      </c>
      <c r="F30" s="518">
        <v>0</v>
      </c>
      <c r="G30" s="710">
        <v>921421.95000000019</v>
      </c>
      <c r="H30" s="522">
        <f t="shared" si="0"/>
        <v>92630423.938656002</v>
      </c>
    </row>
    <row r="31" spans="1:8">
      <c r="A31" s="515">
        <v>25</v>
      </c>
      <c r="B31" s="71" t="s">
        <v>472</v>
      </c>
      <c r="C31" s="518">
        <v>5439636.6593280891</v>
      </c>
      <c r="D31" s="710">
        <v>216083057.94860691</v>
      </c>
      <c r="E31" s="710">
        <v>5101688.5999999801</v>
      </c>
      <c r="F31" s="518">
        <v>0</v>
      </c>
      <c r="G31" s="710">
        <v>1683895.3000000007</v>
      </c>
      <c r="H31" s="522">
        <f t="shared" si="0"/>
        <v>216421006.00793502</v>
      </c>
    </row>
    <row r="32" spans="1:8">
      <c r="A32" s="515">
        <v>26</v>
      </c>
      <c r="B32" s="71" t="s">
        <v>473</v>
      </c>
      <c r="C32" s="518">
        <v>0</v>
      </c>
      <c r="D32" s="518">
        <v>0</v>
      </c>
      <c r="E32" s="518">
        <v>0</v>
      </c>
      <c r="F32" s="518">
        <v>0</v>
      </c>
      <c r="G32" s="710">
        <v>0</v>
      </c>
      <c r="H32" s="522">
        <f t="shared" si="0"/>
        <v>0</v>
      </c>
    </row>
    <row r="33" spans="1:9">
      <c r="A33" s="515">
        <v>27</v>
      </c>
      <c r="B33" s="515" t="s">
        <v>79</v>
      </c>
      <c r="C33" s="518">
        <v>0</v>
      </c>
      <c r="D33" s="518">
        <v>85684496.137020007</v>
      </c>
      <c r="E33" s="518">
        <v>1010898.83</v>
      </c>
      <c r="F33" s="518">
        <v>0</v>
      </c>
      <c r="G33" s="518">
        <v>0</v>
      </c>
      <c r="H33" s="522">
        <f t="shared" si="0"/>
        <v>84673597.307020009</v>
      </c>
    </row>
    <row r="34" spans="1:9">
      <c r="A34" s="515">
        <v>28</v>
      </c>
      <c r="B34" s="513" t="s">
        <v>59</v>
      </c>
      <c r="C34" s="514">
        <f>SUM(C7:C33)</f>
        <v>20006944.639271844</v>
      </c>
      <c r="D34" s="514">
        <f>SUM(D7:D33)</f>
        <v>664129683.79284418</v>
      </c>
      <c r="E34" s="514">
        <f>SUM(E7:E33)</f>
        <v>21767763.829999879</v>
      </c>
      <c r="F34" s="514">
        <f>SUM(F7:F33)</f>
        <v>0</v>
      </c>
      <c r="G34" s="514">
        <f>SUM(G7:G33)</f>
        <v>5917704.0099999998</v>
      </c>
      <c r="H34" s="715">
        <f t="shared" si="0"/>
        <v>662368864.60211611</v>
      </c>
      <c r="I34" s="712"/>
    </row>
    <row r="35" spans="1:9">
      <c r="D35" s="526"/>
      <c r="E35" s="526"/>
      <c r="G35" s="763"/>
    </row>
    <row r="36" spans="1:9">
      <c r="B36" s="528"/>
      <c r="D36" s="712"/>
      <c r="E36" s="712"/>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7"/>
  <sheetViews>
    <sheetView showGridLines="0" zoomScale="80" zoomScaleNormal="80" workbookViewId="0">
      <selection activeCell="B37" sqref="B37"/>
    </sheetView>
  </sheetViews>
  <sheetFormatPr defaultColWidth="9.21875" defaultRowHeight="12"/>
  <cols>
    <col min="1" max="1" width="11.77734375" style="49" bestFit="1" customWidth="1"/>
    <col min="2" max="2" width="108" style="49" bestFit="1" customWidth="1"/>
    <col min="3" max="3" width="35.5546875" style="49" customWidth="1"/>
    <col min="4" max="4" width="38.44140625" style="49" customWidth="1"/>
    <col min="5" max="5" width="11.109375" style="49" bestFit="1" customWidth="1"/>
    <col min="6" max="16384" width="9.21875" style="49"/>
  </cols>
  <sheetData>
    <row r="1" spans="1:4" ht="13.8">
      <c r="A1" s="342" t="s">
        <v>869</v>
      </c>
      <c r="B1" s="344" t="str">
        <f>Info!C2</f>
        <v>კრისტალი</v>
      </c>
    </row>
    <row r="2" spans="1:4" ht="13.8">
      <c r="A2" s="342" t="s">
        <v>88</v>
      </c>
      <c r="B2" s="343">
        <f>'1. key ratios'!B2</f>
        <v>46022</v>
      </c>
    </row>
    <row r="3" spans="1:4">
      <c r="A3" s="50" t="s">
        <v>474</v>
      </c>
    </row>
    <row r="5" spans="1:4">
      <c r="A5" s="857" t="s">
        <v>791</v>
      </c>
      <c r="B5" s="857"/>
      <c r="C5" s="484" t="s">
        <v>493</v>
      </c>
      <c r="D5" s="484" t="s">
        <v>790</v>
      </c>
    </row>
    <row r="6" spans="1:4">
      <c r="A6" s="77">
        <v>1</v>
      </c>
      <c r="B6" s="72" t="s">
        <v>789</v>
      </c>
      <c r="C6" s="486">
        <v>17654702.039999999</v>
      </c>
      <c r="D6" s="486">
        <v>0</v>
      </c>
    </row>
    <row r="7" spans="1:4">
      <c r="A7" s="74">
        <v>2</v>
      </c>
      <c r="B7" s="72" t="s">
        <v>788</v>
      </c>
      <c r="C7" s="772">
        <f>SUM(C8:C9)</f>
        <v>14579619.428353021</v>
      </c>
      <c r="D7" s="485">
        <f>SUM(D8:D9)</f>
        <v>0</v>
      </c>
    </row>
    <row r="8" spans="1:4">
      <c r="A8" s="76">
        <v>2.1</v>
      </c>
      <c r="B8" s="75" t="s">
        <v>787</v>
      </c>
      <c r="C8" s="772">
        <v>1783383.7700000014</v>
      </c>
      <c r="D8" s="485">
        <v>0</v>
      </c>
    </row>
    <row r="9" spans="1:4">
      <c r="A9" s="76">
        <v>2.2000000000000002</v>
      </c>
      <c r="B9" s="75" t="s">
        <v>786</v>
      </c>
      <c r="C9" s="772">
        <v>12796235.65835302</v>
      </c>
      <c r="D9" s="485">
        <v>0</v>
      </c>
    </row>
    <row r="10" spans="1:4">
      <c r="A10" s="77">
        <v>3</v>
      </c>
      <c r="B10" s="72" t="s">
        <v>785</v>
      </c>
      <c r="C10" s="772">
        <f>SUM(C11:C13)</f>
        <v>11477456.465676997</v>
      </c>
      <c r="D10" s="485">
        <f>SUM(D11:D13)</f>
        <v>0</v>
      </c>
    </row>
    <row r="11" spans="1:4">
      <c r="A11" s="76">
        <v>3.1</v>
      </c>
      <c r="B11" s="75" t="s">
        <v>475</v>
      </c>
      <c r="C11" s="485">
        <v>5917704.0100000016</v>
      </c>
      <c r="D11" s="485">
        <v>0</v>
      </c>
    </row>
    <row r="12" spans="1:4">
      <c r="A12" s="76">
        <v>3.2</v>
      </c>
      <c r="B12" s="75" t="s">
        <v>784</v>
      </c>
      <c r="C12" s="485">
        <v>2798261.230395</v>
      </c>
      <c r="D12" s="485">
        <v>0</v>
      </c>
    </row>
    <row r="13" spans="1:4">
      <c r="A13" s="76">
        <v>3.3</v>
      </c>
      <c r="B13" s="75" t="s">
        <v>783</v>
      </c>
      <c r="C13" s="485">
        <v>2761491.2252819939</v>
      </c>
      <c r="D13" s="485">
        <v>0</v>
      </c>
    </row>
    <row r="14" spans="1:4">
      <c r="A14" s="74">
        <v>4</v>
      </c>
      <c r="B14" s="147" t="s">
        <v>782</v>
      </c>
      <c r="C14" s="485">
        <v>0</v>
      </c>
      <c r="D14" s="485">
        <v>0</v>
      </c>
    </row>
    <row r="15" spans="1:4">
      <c r="A15" s="73">
        <v>5</v>
      </c>
      <c r="B15" s="72" t="s">
        <v>781</v>
      </c>
      <c r="C15" s="486">
        <f>C6+C7-C10+C14</f>
        <v>20756865.002676021</v>
      </c>
      <c r="D15" s="485">
        <f>D6+D7-D10+D14</f>
        <v>0</v>
      </c>
    </row>
    <row r="16" spans="1:4">
      <c r="B16" s="725"/>
      <c r="C16" s="724"/>
    </row>
    <row r="17" spans="3:3">
      <c r="C17" s="726"/>
    </row>
  </sheetData>
  <mergeCells count="1">
    <mergeCell ref="A5:B5"/>
  </mergeCells>
  <pageMargins left="0.7" right="0.7" top="0.75" bottom="0.75" header="0.3" footer="0.3"/>
  <pageSetup orientation="portrait" horizontalDpi="4294967292" verticalDpi="0" r:id="rId1"/>
  <ignoredErrors>
    <ignoredError sqref="C10:D10"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23"/>
  <sheetViews>
    <sheetView showGridLines="0" zoomScale="80" zoomScaleNormal="80" workbookViewId="0">
      <selection activeCell="C8" sqref="C8:C16"/>
    </sheetView>
  </sheetViews>
  <sheetFormatPr defaultColWidth="9.21875" defaultRowHeight="12"/>
  <cols>
    <col min="1" max="1" width="11.77734375" style="70" bestFit="1" customWidth="1"/>
    <col min="2" max="2" width="126.33203125" style="70" bestFit="1" customWidth="1"/>
    <col min="3" max="3" width="37" style="70" customWidth="1"/>
    <col min="4" max="4" width="50.5546875" style="70" customWidth="1"/>
    <col min="5" max="16384" width="9.21875" style="70"/>
  </cols>
  <sheetData>
    <row r="1" spans="1:4" ht="13.8">
      <c r="A1" s="342" t="s">
        <v>869</v>
      </c>
      <c r="B1" s="344" t="str">
        <f>Info!C2</f>
        <v>კრისტალი</v>
      </c>
    </row>
    <row r="2" spans="1:4" ht="13.8">
      <c r="A2" s="342" t="s">
        <v>88</v>
      </c>
      <c r="B2" s="343">
        <f>'1. key ratios'!B2</f>
        <v>46022</v>
      </c>
    </row>
    <row r="3" spans="1:4">
      <c r="A3" s="50" t="s">
        <v>476</v>
      </c>
    </row>
    <row r="4" spans="1:4">
      <c r="A4" s="50"/>
    </row>
    <row r="5" spans="1:4" ht="15" customHeight="1">
      <c r="A5" s="858" t="s">
        <v>477</v>
      </c>
      <c r="B5" s="859"/>
      <c r="C5" s="862" t="s">
        <v>478</v>
      </c>
      <c r="D5" s="862" t="s">
        <v>479</v>
      </c>
    </row>
    <row r="6" spans="1:4">
      <c r="A6" s="860"/>
      <c r="B6" s="861"/>
      <c r="C6" s="862"/>
      <c r="D6" s="862"/>
    </row>
    <row r="7" spans="1:4">
      <c r="A7" s="66">
        <v>1</v>
      </c>
      <c r="B7" s="66" t="s">
        <v>480</v>
      </c>
      <c r="C7" s="483">
        <v>19748751.465093777</v>
      </c>
      <c r="D7" s="78"/>
    </row>
    <row r="8" spans="1:4">
      <c r="A8" s="65">
        <v>2</v>
      </c>
      <c r="B8" s="65" t="s">
        <v>481</v>
      </c>
      <c r="C8" s="482">
        <v>9369489.5752300881</v>
      </c>
      <c r="D8" s="78"/>
    </row>
    <row r="9" spans="1:4">
      <c r="A9" s="65">
        <v>3</v>
      </c>
      <c r="B9" s="81" t="s">
        <v>482</v>
      </c>
      <c r="C9" s="482">
        <v>0</v>
      </c>
      <c r="D9" s="78"/>
    </row>
    <row r="10" spans="1:4">
      <c r="A10" s="65">
        <v>4</v>
      </c>
      <c r="B10" s="65" t="s">
        <v>483</v>
      </c>
      <c r="C10" s="773">
        <v>9111296.4010519832</v>
      </c>
      <c r="D10" s="78"/>
    </row>
    <row r="11" spans="1:4">
      <c r="A11" s="65">
        <v>5</v>
      </c>
      <c r="B11" s="80" t="s">
        <v>792</v>
      </c>
      <c r="C11" s="482">
        <v>411060.96269619861</v>
      </c>
      <c r="D11" s="78"/>
    </row>
    <row r="12" spans="1:4">
      <c r="A12" s="65">
        <v>6</v>
      </c>
      <c r="B12" s="80" t="s">
        <v>484</v>
      </c>
      <c r="C12" s="482">
        <v>2948533.4272664557</v>
      </c>
      <c r="D12" s="78"/>
    </row>
    <row r="13" spans="1:4">
      <c r="A13" s="65">
        <v>7</v>
      </c>
      <c r="B13" s="80" t="s">
        <v>487</v>
      </c>
      <c r="C13" s="482">
        <v>3625229.6815487202</v>
      </c>
      <c r="D13" s="78"/>
    </row>
    <row r="14" spans="1:4">
      <c r="A14" s="65">
        <v>8</v>
      </c>
      <c r="B14" s="80" t="s">
        <v>485</v>
      </c>
      <c r="C14" s="482">
        <v>0</v>
      </c>
      <c r="D14" s="65"/>
    </row>
    <row r="15" spans="1:4">
      <c r="A15" s="65">
        <v>9</v>
      </c>
      <c r="B15" s="80" t="s">
        <v>486</v>
      </c>
      <c r="C15" s="482">
        <v>2126472.3295406094</v>
      </c>
      <c r="D15" s="65"/>
    </row>
    <row r="16" spans="1:4">
      <c r="A16" s="65">
        <v>10</v>
      </c>
      <c r="B16" s="80" t="s">
        <v>488</v>
      </c>
      <c r="C16" s="482">
        <v>0</v>
      </c>
      <c r="D16" s="65"/>
    </row>
    <row r="17" spans="1:4">
      <c r="A17" s="65">
        <v>11</v>
      </c>
      <c r="B17" s="80" t="s">
        <v>489</v>
      </c>
      <c r="C17" s="482">
        <v>0</v>
      </c>
      <c r="D17" s="78"/>
    </row>
    <row r="18" spans="1:4">
      <c r="A18" s="66">
        <v>12</v>
      </c>
      <c r="B18" s="79" t="s">
        <v>490</v>
      </c>
      <c r="C18" s="483">
        <f>C7+C8+C9-C10</f>
        <v>20006944.639271881</v>
      </c>
      <c r="D18" s="78"/>
    </row>
    <row r="19" spans="1:4">
      <c r="C19" s="726"/>
    </row>
    <row r="21" spans="1:4">
      <c r="B21" s="48"/>
    </row>
    <row r="22" spans="1:4">
      <c r="B22" s="48"/>
    </row>
    <row r="23" spans="1:4">
      <c r="B23" s="50"/>
    </row>
  </sheetData>
  <mergeCells count="3">
    <mergeCell ref="A5:B6"/>
    <mergeCell ref="C5:C6"/>
    <mergeCell ref="D5:D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28"/>
  <sheetViews>
    <sheetView showGridLines="0" zoomScale="80" zoomScaleNormal="80" workbookViewId="0">
      <pane xSplit="2" ySplit="7" topLeftCell="C8" activePane="bottomRight" state="frozen"/>
      <selection activeCell="B21" sqref="B21:C21"/>
      <selection pane="topRight" activeCell="B21" sqref="B21:C21"/>
      <selection pane="bottomLeft" activeCell="B21" sqref="B21:C21"/>
      <selection pane="bottomRight" activeCell="C30" sqref="C30"/>
    </sheetView>
  </sheetViews>
  <sheetFormatPr defaultColWidth="9.21875" defaultRowHeight="12"/>
  <cols>
    <col min="1" max="1" width="11.77734375" style="509" bestFit="1" customWidth="1"/>
    <col min="2" max="2" width="63.88671875" style="509" customWidth="1"/>
    <col min="3" max="3" width="15.5546875" style="509" customWidth="1"/>
    <col min="4" max="18" width="22.21875" style="509" customWidth="1"/>
    <col min="19" max="19" width="23.21875" style="509" bestFit="1" customWidth="1"/>
    <col min="20" max="26" width="22.21875" style="509" customWidth="1"/>
    <col min="27" max="27" width="23.21875" style="509" bestFit="1" customWidth="1"/>
    <col min="28" max="28" width="20" style="509" customWidth="1"/>
    <col min="29" max="16384" width="9.21875" style="509"/>
  </cols>
  <sheetData>
    <row r="1" spans="1:28" ht="13.8">
      <c r="A1" s="342" t="s">
        <v>869</v>
      </c>
      <c r="B1" s="344" t="str">
        <f>Info!C2</f>
        <v>კრისტალი</v>
      </c>
    </row>
    <row r="2" spans="1:28" ht="13.8">
      <c r="A2" s="342" t="s">
        <v>88</v>
      </c>
      <c r="B2" s="343">
        <f>'1. key ratios'!B2</f>
        <v>46022</v>
      </c>
      <c r="C2" s="128"/>
    </row>
    <row r="3" spans="1:28">
      <c r="A3" s="510" t="s">
        <v>491</v>
      </c>
    </row>
    <row r="5" spans="1:28" ht="15" customHeight="1">
      <c r="A5" s="863" t="s">
        <v>805</v>
      </c>
      <c r="B5" s="864"/>
      <c r="C5" s="855" t="s">
        <v>804</v>
      </c>
      <c r="D5" s="869"/>
      <c r="E5" s="869"/>
      <c r="F5" s="869"/>
      <c r="G5" s="869"/>
      <c r="H5" s="869"/>
      <c r="I5" s="869"/>
      <c r="J5" s="869"/>
      <c r="K5" s="869"/>
      <c r="L5" s="869"/>
      <c r="M5" s="869"/>
      <c r="N5" s="869"/>
      <c r="O5" s="869"/>
      <c r="P5" s="869"/>
      <c r="Q5" s="869"/>
      <c r="R5" s="869"/>
      <c r="S5" s="869"/>
      <c r="T5" s="88"/>
      <c r="U5" s="88"/>
      <c r="V5" s="88"/>
      <c r="W5" s="88"/>
      <c r="X5" s="88"/>
      <c r="Y5" s="88"/>
      <c r="Z5" s="88"/>
      <c r="AA5" s="87"/>
      <c r="AB5" s="82"/>
    </row>
    <row r="6" spans="1:28">
      <c r="A6" s="865"/>
      <c r="B6" s="866"/>
      <c r="C6" s="870" t="s">
        <v>59</v>
      </c>
      <c r="D6" s="872" t="s">
        <v>803</v>
      </c>
      <c r="E6" s="872"/>
      <c r="F6" s="872"/>
      <c r="G6" s="872"/>
      <c r="H6" s="873" t="s">
        <v>802</v>
      </c>
      <c r="I6" s="874"/>
      <c r="J6" s="874"/>
      <c r="K6" s="875"/>
      <c r="L6" s="85"/>
      <c r="M6" s="876" t="s">
        <v>801</v>
      </c>
      <c r="N6" s="876"/>
      <c r="O6" s="876"/>
      <c r="P6" s="876"/>
      <c r="Q6" s="876"/>
      <c r="R6" s="876"/>
      <c r="S6" s="849"/>
      <c r="T6" s="86"/>
      <c r="U6" s="856" t="s">
        <v>800</v>
      </c>
      <c r="V6" s="856"/>
      <c r="W6" s="856"/>
      <c r="X6" s="856"/>
      <c r="Y6" s="856"/>
      <c r="Z6" s="856"/>
      <c r="AA6" s="854"/>
      <c r="AB6" s="85"/>
    </row>
    <row r="7" spans="1:28" ht="24">
      <c r="A7" s="867"/>
      <c r="B7" s="868"/>
      <c r="C7" s="871"/>
      <c r="D7" s="511"/>
      <c r="E7" s="67" t="s">
        <v>492</v>
      </c>
      <c r="F7" s="67" t="s">
        <v>798</v>
      </c>
      <c r="G7" s="67" t="s">
        <v>799</v>
      </c>
      <c r="H7" s="512"/>
      <c r="I7" s="67" t="s">
        <v>492</v>
      </c>
      <c r="J7" s="67" t="s">
        <v>798</v>
      </c>
      <c r="K7" s="67" t="s">
        <v>799</v>
      </c>
      <c r="L7" s="84"/>
      <c r="M7" s="67" t="s">
        <v>492</v>
      </c>
      <c r="N7" s="67" t="s">
        <v>798</v>
      </c>
      <c r="O7" s="67" t="s">
        <v>797</v>
      </c>
      <c r="P7" s="67" t="s">
        <v>796</v>
      </c>
      <c r="Q7" s="67" t="s">
        <v>795</v>
      </c>
      <c r="R7" s="67" t="s">
        <v>794</v>
      </c>
      <c r="S7" s="67" t="s">
        <v>793</v>
      </c>
      <c r="T7" s="83"/>
      <c r="U7" s="67" t="s">
        <v>492</v>
      </c>
      <c r="V7" s="67" t="s">
        <v>798</v>
      </c>
      <c r="W7" s="67" t="s">
        <v>797</v>
      </c>
      <c r="X7" s="67" t="s">
        <v>796</v>
      </c>
      <c r="Y7" s="67" t="s">
        <v>795</v>
      </c>
      <c r="Z7" s="67" t="s">
        <v>794</v>
      </c>
      <c r="AA7" s="67" t="s">
        <v>793</v>
      </c>
      <c r="AB7" s="82"/>
    </row>
    <row r="8" spans="1:28">
      <c r="A8" s="69">
        <v>1</v>
      </c>
      <c r="B8" s="513" t="s">
        <v>493</v>
      </c>
      <c r="C8" s="514">
        <f>SUM(C9:C14)</f>
        <v>570467920.60409319</v>
      </c>
      <c r="D8" s="514">
        <f>SUM(D9:D14)</f>
        <v>521394466.15094614</v>
      </c>
      <c r="E8" s="514">
        <f t="shared" ref="E8" si="0">SUM(E9:E14)</f>
        <v>1313172.1753978017</v>
      </c>
      <c r="F8" s="514">
        <f t="shared" ref="F8" si="1">SUM(F9:F14)</f>
        <v>0</v>
      </c>
      <c r="G8" s="514">
        <f t="shared" ref="G8" si="2">SUM(G9:G14)</f>
        <v>0</v>
      </c>
      <c r="H8" s="514">
        <f t="shared" ref="H8" si="3">SUM(H9:H14)</f>
        <v>29066509.813875124</v>
      </c>
      <c r="I8" s="514">
        <f t="shared" ref="I8" si="4">SUM(I9:I14)</f>
        <v>4439660.2242498724</v>
      </c>
      <c r="J8" s="514">
        <f t="shared" ref="J8" si="5">SUM(J9:J14)</f>
        <v>3539182.4613066721</v>
      </c>
      <c r="K8" s="514">
        <f t="shared" ref="K8" si="6">SUM(K9:K14)</f>
        <v>0</v>
      </c>
      <c r="L8" s="514">
        <f t="shared" ref="L8" si="7">SUM(L9:L14)</f>
        <v>20006944.639271852</v>
      </c>
      <c r="M8" s="514">
        <f t="shared" ref="M8" si="8">SUM(M9:M14)</f>
        <v>1721173.4274302798</v>
      </c>
      <c r="N8" s="514">
        <f t="shared" ref="N8" si="9">SUM(N9:N14)</f>
        <v>2744641.6613930808</v>
      </c>
      <c r="O8" s="514">
        <f t="shared" ref="O8" si="10">SUM(O9:O14)</f>
        <v>7568895.4376952583</v>
      </c>
      <c r="P8" s="514">
        <f t="shared" ref="P8" si="11">SUM(P9:P14)</f>
        <v>0</v>
      </c>
      <c r="Q8" s="514">
        <f t="shared" ref="Q8" si="12">SUM(Q9:Q14)</f>
        <v>0</v>
      </c>
      <c r="R8" s="514">
        <f t="shared" ref="R8" si="13">SUM(R9:R14)</f>
        <v>0</v>
      </c>
      <c r="S8" s="514">
        <f t="shared" ref="S8" si="14">SUM(S9:S14)</f>
        <v>0</v>
      </c>
      <c r="T8" s="514">
        <f t="shared" ref="T8" si="15">SUM(T9:T14)</f>
        <v>0</v>
      </c>
      <c r="U8" s="514">
        <f t="shared" ref="U8" si="16">SUM(U9:U14)</f>
        <v>0</v>
      </c>
      <c r="V8" s="514">
        <f t="shared" ref="V8" si="17">SUM(V9:V14)</f>
        <v>0</v>
      </c>
      <c r="W8" s="514">
        <f t="shared" ref="W8" si="18">SUM(W9:W14)</f>
        <v>0</v>
      </c>
      <c r="X8" s="514">
        <f t="shared" ref="X8" si="19">SUM(X9:X14)</f>
        <v>0</v>
      </c>
      <c r="Y8" s="514">
        <f t="shared" ref="Y8" si="20">SUM(Y9:Y14)</f>
        <v>0</v>
      </c>
      <c r="Z8" s="514">
        <f t="shared" ref="Z8" si="21">SUM(Z9:Z14)</f>
        <v>0</v>
      </c>
      <c r="AA8" s="514">
        <f t="shared" ref="AA8" si="22">SUM(AA9:AA14)</f>
        <v>0</v>
      </c>
    </row>
    <row r="9" spans="1:28">
      <c r="A9" s="515">
        <v>1.1000000000000001</v>
      </c>
      <c r="B9" s="516" t="s">
        <v>494</v>
      </c>
      <c r="C9" s="517">
        <v>0</v>
      </c>
      <c r="D9" s="518">
        <v>0</v>
      </c>
      <c r="E9" s="518">
        <v>0</v>
      </c>
      <c r="F9" s="518">
        <v>0</v>
      </c>
      <c r="G9" s="518">
        <v>0</v>
      </c>
      <c r="H9" s="518">
        <v>0</v>
      </c>
      <c r="I9" s="518">
        <v>0</v>
      </c>
      <c r="J9" s="518">
        <v>0</v>
      </c>
      <c r="K9" s="518">
        <v>0</v>
      </c>
      <c r="L9" s="518">
        <v>0</v>
      </c>
      <c r="M9" s="518">
        <v>0</v>
      </c>
      <c r="N9" s="518">
        <v>0</v>
      </c>
      <c r="O9" s="518">
        <v>0</v>
      </c>
      <c r="P9" s="518">
        <v>0</v>
      </c>
      <c r="Q9" s="518">
        <v>0</v>
      </c>
      <c r="R9" s="518">
        <v>0</v>
      </c>
      <c r="S9" s="518">
        <v>0</v>
      </c>
      <c r="T9" s="518">
        <v>0</v>
      </c>
      <c r="U9" s="518">
        <v>0</v>
      </c>
      <c r="V9" s="518">
        <v>0</v>
      </c>
      <c r="W9" s="518">
        <v>0</v>
      </c>
      <c r="X9" s="518">
        <v>0</v>
      </c>
      <c r="Y9" s="518">
        <v>0</v>
      </c>
      <c r="Z9" s="518">
        <v>0</v>
      </c>
      <c r="AA9" s="518">
        <v>0</v>
      </c>
    </row>
    <row r="10" spans="1:28">
      <c r="A10" s="515">
        <v>1.2</v>
      </c>
      <c r="B10" s="516" t="s">
        <v>495</v>
      </c>
      <c r="C10" s="517">
        <v>0</v>
      </c>
      <c r="D10" s="518">
        <v>0</v>
      </c>
      <c r="E10" s="518">
        <v>0</v>
      </c>
      <c r="F10" s="518">
        <v>0</v>
      </c>
      <c r="G10" s="518">
        <v>0</v>
      </c>
      <c r="H10" s="518">
        <v>0</v>
      </c>
      <c r="I10" s="518">
        <v>0</v>
      </c>
      <c r="J10" s="518">
        <v>0</v>
      </c>
      <c r="K10" s="518">
        <v>0</v>
      </c>
      <c r="L10" s="518">
        <v>0</v>
      </c>
      <c r="M10" s="518">
        <v>0</v>
      </c>
      <c r="N10" s="518">
        <v>0</v>
      </c>
      <c r="O10" s="518">
        <v>0</v>
      </c>
      <c r="P10" s="518">
        <v>0</v>
      </c>
      <c r="Q10" s="518">
        <v>0</v>
      </c>
      <c r="R10" s="518">
        <v>0</v>
      </c>
      <c r="S10" s="518">
        <v>0</v>
      </c>
      <c r="T10" s="518">
        <v>0</v>
      </c>
      <c r="U10" s="518">
        <v>0</v>
      </c>
      <c r="V10" s="518">
        <v>0</v>
      </c>
      <c r="W10" s="518">
        <v>0</v>
      </c>
      <c r="X10" s="518">
        <v>0</v>
      </c>
      <c r="Y10" s="518">
        <v>0</v>
      </c>
      <c r="Z10" s="518">
        <v>0</v>
      </c>
      <c r="AA10" s="518">
        <v>0</v>
      </c>
    </row>
    <row r="11" spans="1:28">
      <c r="A11" s="515">
        <v>1.3</v>
      </c>
      <c r="B11" s="516" t="s">
        <v>496</v>
      </c>
      <c r="C11" s="517">
        <v>0</v>
      </c>
      <c r="D11" s="518">
        <v>0</v>
      </c>
      <c r="E11" s="518">
        <v>0</v>
      </c>
      <c r="F11" s="518">
        <v>0</v>
      </c>
      <c r="G11" s="518">
        <v>0</v>
      </c>
      <c r="H11" s="518">
        <v>0</v>
      </c>
      <c r="I11" s="518">
        <v>0</v>
      </c>
      <c r="J11" s="518">
        <v>0</v>
      </c>
      <c r="K11" s="518">
        <v>0</v>
      </c>
      <c r="L11" s="518">
        <v>0</v>
      </c>
      <c r="M11" s="518">
        <v>0</v>
      </c>
      <c r="N11" s="518">
        <v>0</v>
      </c>
      <c r="O11" s="518">
        <v>0</v>
      </c>
      <c r="P11" s="518">
        <v>0</v>
      </c>
      <c r="Q11" s="518">
        <v>0</v>
      </c>
      <c r="R11" s="518">
        <v>0</v>
      </c>
      <c r="S11" s="518">
        <v>0</v>
      </c>
      <c r="T11" s="518">
        <v>0</v>
      </c>
      <c r="U11" s="518">
        <v>0</v>
      </c>
      <c r="V11" s="518">
        <v>0</v>
      </c>
      <c r="W11" s="518">
        <v>0</v>
      </c>
      <c r="X11" s="518">
        <v>0</v>
      </c>
      <c r="Y11" s="518">
        <v>0</v>
      </c>
      <c r="Z11" s="518">
        <v>0</v>
      </c>
      <c r="AA11" s="518">
        <v>0</v>
      </c>
    </row>
    <row r="12" spans="1:28">
      <c r="A12" s="515">
        <v>1.4</v>
      </c>
      <c r="B12" s="516" t="s">
        <v>497</v>
      </c>
      <c r="C12" s="517">
        <v>0</v>
      </c>
      <c r="D12" s="518">
        <v>0</v>
      </c>
      <c r="E12" s="518">
        <v>0</v>
      </c>
      <c r="F12" s="518">
        <v>0</v>
      </c>
      <c r="G12" s="518">
        <v>0</v>
      </c>
      <c r="H12" s="518">
        <v>0</v>
      </c>
      <c r="I12" s="518">
        <v>0</v>
      </c>
      <c r="J12" s="518">
        <v>0</v>
      </c>
      <c r="K12" s="518">
        <v>0</v>
      </c>
      <c r="L12" s="518">
        <v>0</v>
      </c>
      <c r="M12" s="518">
        <v>0</v>
      </c>
      <c r="N12" s="518">
        <v>0</v>
      </c>
      <c r="O12" s="518">
        <v>0</v>
      </c>
      <c r="P12" s="518">
        <v>0</v>
      </c>
      <c r="Q12" s="518">
        <v>0</v>
      </c>
      <c r="R12" s="518">
        <v>0</v>
      </c>
      <c r="S12" s="518">
        <v>0</v>
      </c>
      <c r="T12" s="518">
        <v>0</v>
      </c>
      <c r="U12" s="518">
        <v>0</v>
      </c>
      <c r="V12" s="518">
        <v>0</v>
      </c>
      <c r="W12" s="518">
        <v>0</v>
      </c>
      <c r="X12" s="518">
        <v>0</v>
      </c>
      <c r="Y12" s="518">
        <v>0</v>
      </c>
      <c r="Z12" s="518">
        <v>0</v>
      </c>
      <c r="AA12" s="518">
        <v>0</v>
      </c>
    </row>
    <row r="13" spans="1:28">
      <c r="A13" s="515">
        <v>1.5</v>
      </c>
      <c r="B13" s="516" t="s">
        <v>498</v>
      </c>
      <c r="C13" s="517">
        <v>0</v>
      </c>
      <c r="D13" s="518">
        <v>0</v>
      </c>
      <c r="E13" s="518">
        <v>0</v>
      </c>
      <c r="F13" s="518">
        <v>0</v>
      </c>
      <c r="G13" s="518">
        <v>0</v>
      </c>
      <c r="H13" s="518">
        <v>0</v>
      </c>
      <c r="I13" s="518">
        <v>0</v>
      </c>
      <c r="J13" s="518">
        <v>0</v>
      </c>
      <c r="K13" s="518">
        <v>0</v>
      </c>
      <c r="L13" s="518">
        <v>0</v>
      </c>
      <c r="M13" s="518">
        <v>0</v>
      </c>
      <c r="N13" s="518">
        <v>0</v>
      </c>
      <c r="O13" s="518">
        <v>0</v>
      </c>
      <c r="P13" s="518">
        <v>0</v>
      </c>
      <c r="Q13" s="518">
        <v>0</v>
      </c>
      <c r="R13" s="518">
        <v>0</v>
      </c>
      <c r="S13" s="518">
        <v>0</v>
      </c>
      <c r="T13" s="518">
        <v>0</v>
      </c>
      <c r="U13" s="518">
        <v>0</v>
      </c>
      <c r="V13" s="518">
        <v>0</v>
      </c>
      <c r="W13" s="518">
        <v>0</v>
      </c>
      <c r="X13" s="518">
        <v>0</v>
      </c>
      <c r="Y13" s="518">
        <v>0</v>
      </c>
      <c r="Z13" s="518">
        <v>0</v>
      </c>
      <c r="AA13" s="518">
        <v>0</v>
      </c>
    </row>
    <row r="14" spans="1:28">
      <c r="A14" s="515">
        <v>1.6</v>
      </c>
      <c r="B14" s="516" t="s">
        <v>499</v>
      </c>
      <c r="C14" s="519">
        <v>570467920.60409319</v>
      </c>
      <c r="D14" s="710">
        <v>521394466.15094614</v>
      </c>
      <c r="E14" s="518">
        <v>1313172.1753978017</v>
      </c>
      <c r="F14" s="518">
        <v>0</v>
      </c>
      <c r="G14" s="518">
        <v>0</v>
      </c>
      <c r="H14" s="518">
        <v>29066509.813875124</v>
      </c>
      <c r="I14" s="518">
        <v>4439660.2242498724</v>
      </c>
      <c r="J14" s="518">
        <v>3539182.4613066721</v>
      </c>
      <c r="K14" s="518">
        <v>0</v>
      </c>
      <c r="L14" s="518">
        <v>20006944.639271852</v>
      </c>
      <c r="M14" s="518">
        <v>1721173.4274302798</v>
      </c>
      <c r="N14" s="518">
        <v>2744641.6613930808</v>
      </c>
      <c r="O14" s="518">
        <v>7568895.4376952583</v>
      </c>
      <c r="P14" s="518">
        <v>0</v>
      </c>
      <c r="Q14" s="518">
        <v>0</v>
      </c>
      <c r="R14" s="518">
        <v>0</v>
      </c>
      <c r="S14" s="518">
        <v>0</v>
      </c>
      <c r="T14" s="518">
        <v>0</v>
      </c>
      <c r="U14" s="518">
        <v>0</v>
      </c>
      <c r="V14" s="518">
        <v>0</v>
      </c>
      <c r="W14" s="518">
        <v>0</v>
      </c>
      <c r="X14" s="518">
        <v>0</v>
      </c>
      <c r="Y14" s="518">
        <v>0</v>
      </c>
      <c r="Z14" s="518">
        <v>0</v>
      </c>
      <c r="AA14" s="518">
        <v>0</v>
      </c>
    </row>
    <row r="15" spans="1:28">
      <c r="A15" s="69">
        <v>2</v>
      </c>
      <c r="B15" s="513" t="s">
        <v>500</v>
      </c>
      <c r="C15" s="514">
        <v>0</v>
      </c>
      <c r="D15" s="514">
        <v>0</v>
      </c>
      <c r="E15" s="514">
        <v>0</v>
      </c>
      <c r="F15" s="514">
        <v>0</v>
      </c>
      <c r="G15" s="514">
        <v>0</v>
      </c>
      <c r="H15" s="514">
        <v>0</v>
      </c>
      <c r="I15" s="514">
        <v>0</v>
      </c>
      <c r="J15" s="514">
        <v>0</v>
      </c>
      <c r="K15" s="514">
        <v>0</v>
      </c>
      <c r="L15" s="514">
        <v>0</v>
      </c>
      <c r="M15" s="514">
        <v>0</v>
      </c>
      <c r="N15" s="514">
        <v>0</v>
      </c>
      <c r="O15" s="514">
        <v>0</v>
      </c>
      <c r="P15" s="514">
        <v>0</v>
      </c>
      <c r="Q15" s="514">
        <v>0</v>
      </c>
      <c r="R15" s="514">
        <v>0</v>
      </c>
      <c r="S15" s="514">
        <v>0</v>
      </c>
      <c r="T15" s="514">
        <v>0</v>
      </c>
      <c r="U15" s="514">
        <v>0</v>
      </c>
      <c r="V15" s="514">
        <v>0</v>
      </c>
      <c r="W15" s="514">
        <v>0</v>
      </c>
      <c r="X15" s="514">
        <v>0</v>
      </c>
      <c r="Y15" s="514">
        <v>0</v>
      </c>
      <c r="Z15" s="514">
        <v>0</v>
      </c>
      <c r="AA15" s="514">
        <v>0</v>
      </c>
    </row>
    <row r="16" spans="1:28">
      <c r="A16" s="515">
        <v>2.1</v>
      </c>
      <c r="B16" s="516" t="s">
        <v>494</v>
      </c>
      <c r="C16" s="517">
        <v>0</v>
      </c>
      <c r="D16" s="518">
        <v>0</v>
      </c>
      <c r="E16" s="518">
        <v>0</v>
      </c>
      <c r="F16" s="518">
        <v>0</v>
      </c>
      <c r="G16" s="518">
        <v>0</v>
      </c>
      <c r="H16" s="518">
        <v>0</v>
      </c>
      <c r="I16" s="518">
        <v>0</v>
      </c>
      <c r="J16" s="518">
        <v>0</v>
      </c>
      <c r="K16" s="518">
        <v>0</v>
      </c>
      <c r="L16" s="518">
        <v>0</v>
      </c>
      <c r="M16" s="518">
        <v>0</v>
      </c>
      <c r="N16" s="518">
        <v>0</v>
      </c>
      <c r="O16" s="518">
        <v>0</v>
      </c>
      <c r="P16" s="518">
        <v>0</v>
      </c>
      <c r="Q16" s="518">
        <v>0</v>
      </c>
      <c r="R16" s="518">
        <v>0</v>
      </c>
      <c r="S16" s="518">
        <v>0</v>
      </c>
      <c r="T16" s="518">
        <v>0</v>
      </c>
      <c r="U16" s="518">
        <v>0</v>
      </c>
      <c r="V16" s="518">
        <v>0</v>
      </c>
      <c r="W16" s="518">
        <v>0</v>
      </c>
      <c r="X16" s="518">
        <v>0</v>
      </c>
      <c r="Y16" s="518">
        <v>0</v>
      </c>
      <c r="Z16" s="518">
        <v>0</v>
      </c>
      <c r="AA16" s="518">
        <v>0</v>
      </c>
    </row>
    <row r="17" spans="1:27">
      <c r="A17" s="515">
        <v>2.2000000000000002</v>
      </c>
      <c r="B17" s="516" t="s">
        <v>495</v>
      </c>
      <c r="C17" s="517">
        <v>0</v>
      </c>
      <c r="D17" s="518">
        <v>0</v>
      </c>
      <c r="E17" s="518">
        <v>0</v>
      </c>
      <c r="F17" s="518">
        <v>0</v>
      </c>
      <c r="G17" s="518">
        <v>0</v>
      </c>
      <c r="H17" s="518">
        <v>0</v>
      </c>
      <c r="I17" s="518">
        <v>0</v>
      </c>
      <c r="J17" s="518">
        <v>0</v>
      </c>
      <c r="K17" s="518">
        <v>0</v>
      </c>
      <c r="L17" s="518">
        <v>0</v>
      </c>
      <c r="M17" s="518">
        <v>0</v>
      </c>
      <c r="N17" s="518">
        <v>0</v>
      </c>
      <c r="O17" s="518">
        <v>0</v>
      </c>
      <c r="P17" s="518">
        <v>0</v>
      </c>
      <c r="Q17" s="518">
        <v>0</v>
      </c>
      <c r="R17" s="518">
        <v>0</v>
      </c>
      <c r="S17" s="518">
        <v>0</v>
      </c>
      <c r="T17" s="518">
        <v>0</v>
      </c>
      <c r="U17" s="518">
        <v>0</v>
      </c>
      <c r="V17" s="518">
        <v>0</v>
      </c>
      <c r="W17" s="518">
        <v>0</v>
      </c>
      <c r="X17" s="518">
        <v>0</v>
      </c>
      <c r="Y17" s="518">
        <v>0</v>
      </c>
      <c r="Z17" s="518">
        <v>0</v>
      </c>
      <c r="AA17" s="518">
        <v>0</v>
      </c>
    </row>
    <row r="18" spans="1:27">
      <c r="A18" s="515">
        <v>2.2999999999999998</v>
      </c>
      <c r="B18" s="516" t="s">
        <v>496</v>
      </c>
      <c r="C18" s="517">
        <v>0</v>
      </c>
      <c r="D18" s="518">
        <v>0</v>
      </c>
      <c r="E18" s="518">
        <v>0</v>
      </c>
      <c r="F18" s="518">
        <v>0</v>
      </c>
      <c r="G18" s="518">
        <v>0</v>
      </c>
      <c r="H18" s="518">
        <v>0</v>
      </c>
      <c r="I18" s="518">
        <v>0</v>
      </c>
      <c r="J18" s="518">
        <v>0</v>
      </c>
      <c r="K18" s="518">
        <v>0</v>
      </c>
      <c r="L18" s="518">
        <v>0</v>
      </c>
      <c r="M18" s="518">
        <v>0</v>
      </c>
      <c r="N18" s="518">
        <v>0</v>
      </c>
      <c r="O18" s="518">
        <v>0</v>
      </c>
      <c r="P18" s="518">
        <v>0</v>
      </c>
      <c r="Q18" s="518">
        <v>0</v>
      </c>
      <c r="R18" s="518">
        <v>0</v>
      </c>
      <c r="S18" s="518">
        <v>0</v>
      </c>
      <c r="T18" s="518">
        <v>0</v>
      </c>
      <c r="U18" s="518">
        <v>0</v>
      </c>
      <c r="V18" s="518">
        <v>0</v>
      </c>
      <c r="W18" s="518">
        <v>0</v>
      </c>
      <c r="X18" s="518">
        <v>0</v>
      </c>
      <c r="Y18" s="518">
        <v>0</v>
      </c>
      <c r="Z18" s="518">
        <v>0</v>
      </c>
      <c r="AA18" s="518">
        <v>0</v>
      </c>
    </row>
    <row r="19" spans="1:27">
      <c r="A19" s="515">
        <v>2.4</v>
      </c>
      <c r="B19" s="516" t="s">
        <v>497</v>
      </c>
      <c r="C19" s="517">
        <v>0</v>
      </c>
      <c r="D19" s="518">
        <v>0</v>
      </c>
      <c r="E19" s="518">
        <v>0</v>
      </c>
      <c r="F19" s="518">
        <v>0</v>
      </c>
      <c r="G19" s="518">
        <v>0</v>
      </c>
      <c r="H19" s="518">
        <v>0</v>
      </c>
      <c r="I19" s="518">
        <v>0</v>
      </c>
      <c r="J19" s="518">
        <v>0</v>
      </c>
      <c r="K19" s="518">
        <v>0</v>
      </c>
      <c r="L19" s="518">
        <v>0</v>
      </c>
      <c r="M19" s="518">
        <v>0</v>
      </c>
      <c r="N19" s="518">
        <v>0</v>
      </c>
      <c r="O19" s="518">
        <v>0</v>
      </c>
      <c r="P19" s="518">
        <v>0</v>
      </c>
      <c r="Q19" s="518">
        <v>0</v>
      </c>
      <c r="R19" s="518">
        <v>0</v>
      </c>
      <c r="S19" s="518">
        <v>0</v>
      </c>
      <c r="T19" s="518">
        <v>0</v>
      </c>
      <c r="U19" s="518">
        <v>0</v>
      </c>
      <c r="V19" s="518">
        <v>0</v>
      </c>
      <c r="W19" s="518">
        <v>0</v>
      </c>
      <c r="X19" s="518">
        <v>0</v>
      </c>
      <c r="Y19" s="518">
        <v>0</v>
      </c>
      <c r="Z19" s="518">
        <v>0</v>
      </c>
      <c r="AA19" s="518">
        <v>0</v>
      </c>
    </row>
    <row r="20" spans="1:27">
      <c r="A20" s="515">
        <v>2.5</v>
      </c>
      <c r="B20" s="516" t="s">
        <v>498</v>
      </c>
      <c r="C20" s="517">
        <v>0</v>
      </c>
      <c r="D20" s="518">
        <v>0</v>
      </c>
      <c r="E20" s="518">
        <v>0</v>
      </c>
      <c r="F20" s="518">
        <v>0</v>
      </c>
      <c r="G20" s="518">
        <v>0</v>
      </c>
      <c r="H20" s="518">
        <v>0</v>
      </c>
      <c r="I20" s="518">
        <v>0</v>
      </c>
      <c r="J20" s="518">
        <v>0</v>
      </c>
      <c r="K20" s="518">
        <v>0</v>
      </c>
      <c r="L20" s="518">
        <v>0</v>
      </c>
      <c r="M20" s="518">
        <v>0</v>
      </c>
      <c r="N20" s="518">
        <v>0</v>
      </c>
      <c r="O20" s="518">
        <v>0</v>
      </c>
      <c r="P20" s="518">
        <v>0</v>
      </c>
      <c r="Q20" s="518">
        <v>0</v>
      </c>
      <c r="R20" s="518">
        <v>0</v>
      </c>
      <c r="S20" s="518">
        <v>0</v>
      </c>
      <c r="T20" s="518">
        <v>0</v>
      </c>
      <c r="U20" s="518">
        <v>0</v>
      </c>
      <c r="V20" s="518">
        <v>0</v>
      </c>
      <c r="W20" s="518">
        <v>0</v>
      </c>
      <c r="X20" s="518">
        <v>0</v>
      </c>
      <c r="Y20" s="518">
        <v>0</v>
      </c>
      <c r="Z20" s="518">
        <v>0</v>
      </c>
      <c r="AA20" s="518">
        <v>0</v>
      </c>
    </row>
    <row r="21" spans="1:27">
      <c r="A21" s="515">
        <v>2.6</v>
      </c>
      <c r="B21" s="516" t="s">
        <v>499</v>
      </c>
      <c r="C21" s="517">
        <v>0</v>
      </c>
      <c r="D21" s="518">
        <v>0</v>
      </c>
      <c r="E21" s="518">
        <v>0</v>
      </c>
      <c r="F21" s="518">
        <v>0</v>
      </c>
      <c r="G21" s="518">
        <v>0</v>
      </c>
      <c r="H21" s="518">
        <v>0</v>
      </c>
      <c r="I21" s="518">
        <v>0</v>
      </c>
      <c r="J21" s="518">
        <v>0</v>
      </c>
      <c r="K21" s="518">
        <v>0</v>
      </c>
      <c r="L21" s="518">
        <v>0</v>
      </c>
      <c r="M21" s="518">
        <v>0</v>
      </c>
      <c r="N21" s="518">
        <v>0</v>
      </c>
      <c r="O21" s="518">
        <v>0</v>
      </c>
      <c r="P21" s="518">
        <v>0</v>
      </c>
      <c r="Q21" s="518">
        <v>0</v>
      </c>
      <c r="R21" s="518">
        <v>0</v>
      </c>
      <c r="S21" s="518">
        <v>0</v>
      </c>
      <c r="T21" s="518">
        <v>0</v>
      </c>
      <c r="U21" s="518">
        <v>0</v>
      </c>
      <c r="V21" s="518">
        <v>0</v>
      </c>
      <c r="W21" s="518">
        <v>0</v>
      </c>
      <c r="X21" s="518">
        <v>0</v>
      </c>
      <c r="Y21" s="518">
        <v>0</v>
      </c>
      <c r="Z21" s="518">
        <v>0</v>
      </c>
      <c r="AA21" s="518">
        <v>0</v>
      </c>
    </row>
    <row r="22" spans="1:27">
      <c r="A22" s="69">
        <v>3</v>
      </c>
      <c r="B22" s="513" t="s">
        <v>501</v>
      </c>
      <c r="C22" s="514">
        <f>SUM(C23:C28)</f>
        <v>2435484</v>
      </c>
      <c r="D22" s="514">
        <f>SUM(D23:D28)</f>
        <v>2435484</v>
      </c>
      <c r="E22" s="520"/>
      <c r="F22" s="520"/>
      <c r="G22" s="520"/>
      <c r="H22" s="514">
        <f>SUM(H23:H28)</f>
        <v>0</v>
      </c>
      <c r="I22" s="520"/>
      <c r="J22" s="520"/>
      <c r="K22" s="520"/>
      <c r="L22" s="514">
        <f>SUM(L23:L28)</f>
        <v>0</v>
      </c>
      <c r="M22" s="520"/>
      <c r="N22" s="520"/>
      <c r="O22" s="520"/>
      <c r="P22" s="520"/>
      <c r="Q22" s="520"/>
      <c r="R22" s="520"/>
      <c r="S22" s="520"/>
      <c r="T22" s="514">
        <f>SUM(T23:T28)</f>
        <v>0</v>
      </c>
      <c r="U22" s="520"/>
      <c r="V22" s="520"/>
      <c r="W22" s="520"/>
      <c r="X22" s="520"/>
      <c r="Y22" s="520"/>
      <c r="Z22" s="520"/>
      <c r="AA22" s="520"/>
    </row>
    <row r="23" spans="1:27">
      <c r="A23" s="515">
        <v>3.1</v>
      </c>
      <c r="B23" s="516" t="s">
        <v>494</v>
      </c>
      <c r="C23" s="517">
        <f>SUM(D23,H23,L23,T23)</f>
        <v>0</v>
      </c>
      <c r="D23" s="518">
        <v>0</v>
      </c>
      <c r="E23" s="520"/>
      <c r="F23" s="520"/>
      <c r="G23" s="520"/>
      <c r="H23" s="518">
        <v>0</v>
      </c>
      <c r="I23" s="520"/>
      <c r="J23" s="520"/>
      <c r="K23" s="520"/>
      <c r="L23" s="518">
        <v>0</v>
      </c>
      <c r="M23" s="520"/>
      <c r="N23" s="520"/>
      <c r="O23" s="520"/>
      <c r="P23" s="520"/>
      <c r="Q23" s="520"/>
      <c r="R23" s="520"/>
      <c r="S23" s="520"/>
      <c r="T23" s="518">
        <v>0</v>
      </c>
      <c r="U23" s="520"/>
      <c r="V23" s="520"/>
      <c r="W23" s="520"/>
      <c r="X23" s="520"/>
      <c r="Y23" s="520"/>
      <c r="Z23" s="520"/>
      <c r="AA23" s="520"/>
    </row>
    <row r="24" spans="1:27">
      <c r="A24" s="515">
        <v>3.2</v>
      </c>
      <c r="B24" s="516" t="s">
        <v>495</v>
      </c>
      <c r="C24" s="517">
        <f t="shared" ref="C24:C28" si="23">SUM(D24,H24,L24,T24)</f>
        <v>0</v>
      </c>
      <c r="D24" s="518">
        <v>0</v>
      </c>
      <c r="E24" s="520"/>
      <c r="F24" s="520"/>
      <c r="G24" s="520"/>
      <c r="H24" s="518">
        <v>0</v>
      </c>
      <c r="I24" s="520"/>
      <c r="J24" s="520"/>
      <c r="K24" s="520"/>
      <c r="L24" s="518">
        <v>0</v>
      </c>
      <c r="M24" s="520"/>
      <c r="N24" s="520"/>
      <c r="O24" s="520"/>
      <c r="P24" s="520"/>
      <c r="Q24" s="520"/>
      <c r="R24" s="520"/>
      <c r="S24" s="520"/>
      <c r="T24" s="518">
        <v>0</v>
      </c>
      <c r="U24" s="520"/>
      <c r="V24" s="520"/>
      <c r="W24" s="520"/>
      <c r="X24" s="520"/>
      <c r="Y24" s="520"/>
      <c r="Z24" s="520"/>
      <c r="AA24" s="520"/>
    </row>
    <row r="25" spans="1:27">
      <c r="A25" s="515">
        <v>3.3</v>
      </c>
      <c r="B25" s="516" t="s">
        <v>496</v>
      </c>
      <c r="C25" s="517">
        <f t="shared" si="23"/>
        <v>0</v>
      </c>
      <c r="D25" s="518">
        <v>0</v>
      </c>
      <c r="E25" s="520"/>
      <c r="F25" s="520"/>
      <c r="G25" s="520"/>
      <c r="H25" s="518">
        <v>0</v>
      </c>
      <c r="I25" s="520"/>
      <c r="J25" s="520"/>
      <c r="K25" s="520"/>
      <c r="L25" s="518">
        <v>0</v>
      </c>
      <c r="M25" s="520"/>
      <c r="N25" s="520"/>
      <c r="O25" s="520"/>
      <c r="P25" s="520"/>
      <c r="Q25" s="520"/>
      <c r="R25" s="520"/>
      <c r="S25" s="520"/>
      <c r="T25" s="518">
        <v>0</v>
      </c>
      <c r="U25" s="520"/>
      <c r="V25" s="520"/>
      <c r="W25" s="520"/>
      <c r="X25" s="520"/>
      <c r="Y25" s="520"/>
      <c r="Z25" s="520"/>
      <c r="AA25" s="520"/>
    </row>
    <row r="26" spans="1:27">
      <c r="A26" s="515">
        <v>3.4</v>
      </c>
      <c r="B26" s="516" t="s">
        <v>497</v>
      </c>
      <c r="C26" s="517">
        <f t="shared" si="23"/>
        <v>0</v>
      </c>
      <c r="D26" s="518">
        <v>0</v>
      </c>
      <c r="E26" s="520"/>
      <c r="F26" s="520"/>
      <c r="G26" s="520"/>
      <c r="H26" s="518">
        <v>0</v>
      </c>
      <c r="I26" s="520"/>
      <c r="J26" s="520"/>
      <c r="K26" s="520"/>
      <c r="L26" s="518">
        <v>0</v>
      </c>
      <c r="M26" s="520"/>
      <c r="N26" s="520"/>
      <c r="O26" s="520"/>
      <c r="P26" s="520"/>
      <c r="Q26" s="520"/>
      <c r="R26" s="520"/>
      <c r="S26" s="520"/>
      <c r="T26" s="518">
        <v>0</v>
      </c>
      <c r="U26" s="520"/>
      <c r="V26" s="520"/>
      <c r="W26" s="520"/>
      <c r="X26" s="520"/>
      <c r="Y26" s="520"/>
      <c r="Z26" s="520"/>
      <c r="AA26" s="520"/>
    </row>
    <row r="27" spans="1:27">
      <c r="A27" s="515">
        <v>3.5</v>
      </c>
      <c r="B27" s="516" t="s">
        <v>498</v>
      </c>
      <c r="C27" s="517">
        <f t="shared" si="23"/>
        <v>0</v>
      </c>
      <c r="D27" s="518">
        <v>0</v>
      </c>
      <c r="E27" s="520"/>
      <c r="F27" s="520"/>
      <c r="G27" s="520"/>
      <c r="H27" s="518">
        <v>0</v>
      </c>
      <c r="I27" s="520"/>
      <c r="J27" s="520"/>
      <c r="K27" s="520"/>
      <c r="L27" s="518">
        <v>0</v>
      </c>
      <c r="M27" s="520"/>
      <c r="N27" s="520"/>
      <c r="O27" s="520"/>
      <c r="P27" s="520"/>
      <c r="Q27" s="520"/>
      <c r="R27" s="520"/>
      <c r="S27" s="520"/>
      <c r="T27" s="518">
        <v>0</v>
      </c>
      <c r="U27" s="520"/>
      <c r="V27" s="520"/>
      <c r="W27" s="520"/>
      <c r="X27" s="520"/>
      <c r="Y27" s="520"/>
      <c r="Z27" s="520"/>
      <c r="AA27" s="520"/>
    </row>
    <row r="28" spans="1:27">
      <c r="A28" s="515">
        <v>3.6</v>
      </c>
      <c r="B28" s="516" t="s">
        <v>499</v>
      </c>
      <c r="C28" s="517">
        <f t="shared" si="23"/>
        <v>2435484</v>
      </c>
      <c r="D28" s="518">
        <v>2435484</v>
      </c>
      <c r="E28" s="520"/>
      <c r="F28" s="520"/>
      <c r="G28" s="520"/>
      <c r="H28" s="518">
        <v>0</v>
      </c>
      <c r="I28" s="520"/>
      <c r="J28" s="520"/>
      <c r="K28" s="520"/>
      <c r="L28" s="518">
        <v>0</v>
      </c>
      <c r="M28" s="520"/>
      <c r="N28" s="520"/>
      <c r="O28" s="520"/>
      <c r="P28" s="520"/>
      <c r="Q28" s="520"/>
      <c r="R28" s="520"/>
      <c r="S28" s="520"/>
      <c r="T28" s="518">
        <v>0</v>
      </c>
      <c r="U28" s="520"/>
      <c r="V28" s="520"/>
      <c r="W28" s="520"/>
      <c r="X28" s="520"/>
      <c r="Y28" s="520"/>
      <c r="Z28" s="520"/>
      <c r="AA28" s="520"/>
    </row>
  </sheetData>
  <mergeCells count="7">
    <mergeCell ref="U6:AA6"/>
    <mergeCell ref="A5:B7"/>
    <mergeCell ref="C5:S5"/>
    <mergeCell ref="C6:C7"/>
    <mergeCell ref="D6:G6"/>
    <mergeCell ref="H6:K6"/>
    <mergeCell ref="M6:S6"/>
  </mergeCells>
  <pageMargins left="0.7" right="0.7" top="0.75" bottom="0.75" header="0.3" footer="0.3"/>
  <pageSetup orientation="portrait" r:id="rId1"/>
  <ignoredErrors>
    <ignoredError sqref="C22"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32"/>
  <sheetViews>
    <sheetView showGridLines="0" zoomScale="70" zoomScaleNormal="70" workbookViewId="0">
      <pane xSplit="2" ySplit="7" topLeftCell="C8" activePane="bottomRight" state="frozen"/>
      <selection activeCell="B21" sqref="B21:C21"/>
      <selection pane="topRight" activeCell="B21" sqref="B21:C21"/>
      <selection pane="bottomLeft" activeCell="B21" sqref="B21:C21"/>
      <selection pane="bottomRight" activeCell="C8" sqref="C8:AA22"/>
    </sheetView>
  </sheetViews>
  <sheetFormatPr defaultColWidth="9.21875" defaultRowHeight="13.8"/>
  <cols>
    <col min="1" max="1" width="11.77734375" style="341" bestFit="1" customWidth="1"/>
    <col min="2" max="2" width="90.21875" style="341" bestFit="1" customWidth="1"/>
    <col min="3" max="3" width="20.21875" style="341" customWidth="1"/>
    <col min="4" max="4" width="22.21875" style="341" customWidth="1"/>
    <col min="5" max="7" width="17.109375" style="341" customWidth="1"/>
    <col min="8" max="8" width="22.21875" style="341" customWidth="1"/>
    <col min="9" max="10" width="17.109375" style="341" customWidth="1"/>
    <col min="11" max="27" width="22.21875" style="341" customWidth="1"/>
    <col min="28" max="16384" width="9.21875" style="341"/>
  </cols>
  <sheetData>
    <row r="1" spans="1:27">
      <c r="A1" s="342" t="s">
        <v>869</v>
      </c>
      <c r="B1" s="344" t="str">
        <f>Info!C2</f>
        <v>კრისტალი</v>
      </c>
    </row>
    <row r="2" spans="1:27">
      <c r="A2" s="342" t="s">
        <v>88</v>
      </c>
      <c r="B2" s="343">
        <f>'1. key ratios'!B2</f>
        <v>46022</v>
      </c>
    </row>
    <row r="3" spans="1:27">
      <c r="A3" s="545" t="s">
        <v>502</v>
      </c>
      <c r="C3" s="546"/>
    </row>
    <row r="4" spans="1:27" ht="14.4" thickBot="1">
      <c r="A4" s="545"/>
      <c r="B4" s="546"/>
      <c r="C4" s="546"/>
    </row>
    <row r="5" spans="1:27" ht="13.5" customHeight="1">
      <c r="A5" s="882" t="s">
        <v>812</v>
      </c>
      <c r="B5" s="883"/>
      <c r="C5" s="879" t="s">
        <v>503</v>
      </c>
      <c r="D5" s="880"/>
      <c r="E5" s="880"/>
      <c r="F5" s="880"/>
      <c r="G5" s="880"/>
      <c r="H5" s="880"/>
      <c r="I5" s="880"/>
      <c r="J5" s="880"/>
      <c r="K5" s="880"/>
      <c r="L5" s="880"/>
      <c r="M5" s="880"/>
      <c r="N5" s="880"/>
      <c r="O5" s="880"/>
      <c r="P5" s="880"/>
      <c r="Q5" s="880"/>
      <c r="R5" s="880"/>
      <c r="S5" s="880"/>
      <c r="T5" s="880"/>
      <c r="U5" s="880"/>
      <c r="V5" s="880"/>
      <c r="W5" s="880"/>
      <c r="X5" s="880"/>
      <c r="Y5" s="880"/>
      <c r="Z5" s="880"/>
      <c r="AA5" s="881"/>
    </row>
    <row r="6" spans="1:27" ht="12" customHeight="1">
      <c r="A6" s="884"/>
      <c r="B6" s="885"/>
      <c r="C6" s="889" t="s">
        <v>59</v>
      </c>
      <c r="D6" s="888" t="s">
        <v>803</v>
      </c>
      <c r="E6" s="888"/>
      <c r="F6" s="888"/>
      <c r="G6" s="888"/>
      <c r="H6" s="891" t="s">
        <v>802</v>
      </c>
      <c r="I6" s="892"/>
      <c r="J6" s="892"/>
      <c r="K6" s="892"/>
      <c r="L6" s="569"/>
      <c r="M6" s="877" t="s">
        <v>801</v>
      </c>
      <c r="N6" s="877"/>
      <c r="O6" s="877"/>
      <c r="P6" s="877"/>
      <c r="Q6" s="877"/>
      <c r="R6" s="877"/>
      <c r="S6" s="893"/>
      <c r="T6" s="569"/>
      <c r="U6" s="877" t="s">
        <v>800</v>
      </c>
      <c r="V6" s="877"/>
      <c r="W6" s="877"/>
      <c r="X6" s="877"/>
      <c r="Y6" s="877"/>
      <c r="Z6" s="877"/>
      <c r="AA6" s="878"/>
    </row>
    <row r="7" spans="1:27" ht="41.4">
      <c r="A7" s="886"/>
      <c r="B7" s="887"/>
      <c r="C7" s="890"/>
      <c r="D7" s="547"/>
      <c r="E7" s="570" t="s">
        <v>492</v>
      </c>
      <c r="F7" s="570" t="s">
        <v>951</v>
      </c>
      <c r="G7" s="570" t="s">
        <v>799</v>
      </c>
      <c r="H7" s="572"/>
      <c r="I7" s="570" t="s">
        <v>492</v>
      </c>
      <c r="J7" s="570" t="s">
        <v>951</v>
      </c>
      <c r="K7" s="570" t="s">
        <v>799</v>
      </c>
      <c r="L7" s="487"/>
      <c r="M7" s="570" t="s">
        <v>492</v>
      </c>
      <c r="N7" s="570" t="s">
        <v>811</v>
      </c>
      <c r="O7" s="570" t="s">
        <v>810</v>
      </c>
      <c r="P7" s="570" t="s">
        <v>809</v>
      </c>
      <c r="Q7" s="570" t="s">
        <v>808</v>
      </c>
      <c r="R7" s="570" t="s">
        <v>807</v>
      </c>
      <c r="S7" s="570" t="s">
        <v>793</v>
      </c>
      <c r="T7" s="487"/>
      <c r="U7" s="570" t="s">
        <v>492</v>
      </c>
      <c r="V7" s="570" t="s">
        <v>811</v>
      </c>
      <c r="W7" s="570" t="s">
        <v>810</v>
      </c>
      <c r="X7" s="570" t="s">
        <v>809</v>
      </c>
      <c r="Y7" s="570" t="s">
        <v>808</v>
      </c>
      <c r="Z7" s="570" t="s">
        <v>807</v>
      </c>
      <c r="AA7" s="571" t="s">
        <v>793</v>
      </c>
    </row>
    <row r="8" spans="1:27">
      <c r="A8" s="548">
        <v>1</v>
      </c>
      <c r="B8" s="549" t="s">
        <v>493</v>
      </c>
      <c r="C8" s="757">
        <v>570467920.60409307</v>
      </c>
      <c r="D8" s="758">
        <v>521394466.15094614</v>
      </c>
      <c r="E8" s="758">
        <v>1313172.1753978017</v>
      </c>
      <c r="F8" s="758">
        <v>0</v>
      </c>
      <c r="G8" s="758">
        <v>0</v>
      </c>
      <c r="H8" s="758">
        <v>29066509.813875124</v>
      </c>
      <c r="I8" s="758">
        <v>4439660.2242498724</v>
      </c>
      <c r="J8" s="758">
        <v>3539182.4613066721</v>
      </c>
      <c r="K8" s="758">
        <v>0</v>
      </c>
      <c r="L8" s="758">
        <v>20006944.639271852</v>
      </c>
      <c r="M8" s="758">
        <v>1721173.4274302798</v>
      </c>
      <c r="N8" s="758">
        <v>2744641.6613930808</v>
      </c>
      <c r="O8" s="758">
        <v>7568895.4376952583</v>
      </c>
      <c r="P8" s="550">
        <v>0</v>
      </c>
      <c r="Q8" s="550">
        <v>0</v>
      </c>
      <c r="R8" s="550">
        <v>0</v>
      </c>
      <c r="S8" s="550">
        <v>0</v>
      </c>
      <c r="T8" s="550">
        <v>0</v>
      </c>
      <c r="U8" s="550">
        <v>0</v>
      </c>
      <c r="V8" s="550">
        <v>0</v>
      </c>
      <c r="W8" s="550">
        <v>0</v>
      </c>
      <c r="X8" s="550">
        <v>0</v>
      </c>
      <c r="Y8" s="550">
        <v>0</v>
      </c>
      <c r="Z8" s="550">
        <v>0</v>
      </c>
      <c r="AA8" s="551">
        <v>0</v>
      </c>
    </row>
    <row r="9" spans="1:27">
      <c r="A9" s="552">
        <v>1.1000000000000001</v>
      </c>
      <c r="B9" s="553" t="s">
        <v>504</v>
      </c>
      <c r="C9" s="759">
        <v>164443995.04000854</v>
      </c>
      <c r="D9" s="758">
        <v>147873819.97682506</v>
      </c>
      <c r="E9" s="758">
        <v>469715.01719881658</v>
      </c>
      <c r="F9" s="758">
        <v>0</v>
      </c>
      <c r="G9" s="758">
        <v>0</v>
      </c>
      <c r="H9" s="758">
        <v>11265171.691559657</v>
      </c>
      <c r="I9" s="758">
        <v>1709888.3981573028</v>
      </c>
      <c r="J9" s="758">
        <v>572527.64017043088</v>
      </c>
      <c r="K9" s="758">
        <v>0</v>
      </c>
      <c r="L9" s="758">
        <v>5305003.3716238132</v>
      </c>
      <c r="M9" s="758">
        <v>649877.53717590705</v>
      </c>
      <c r="N9" s="758">
        <v>897026.91701493924</v>
      </c>
      <c r="O9" s="758">
        <v>1117743.485226752</v>
      </c>
      <c r="P9" s="550">
        <v>0</v>
      </c>
      <c r="Q9" s="550">
        <v>0</v>
      </c>
      <c r="R9" s="550">
        <v>0</v>
      </c>
      <c r="S9" s="550">
        <v>0</v>
      </c>
      <c r="T9" s="550">
        <v>0</v>
      </c>
      <c r="U9" s="550">
        <v>0</v>
      </c>
      <c r="V9" s="550">
        <v>0</v>
      </c>
      <c r="W9" s="550">
        <v>0</v>
      </c>
      <c r="X9" s="550">
        <v>0</v>
      </c>
      <c r="Y9" s="550">
        <v>0</v>
      </c>
      <c r="Z9" s="550">
        <v>0</v>
      </c>
      <c r="AA9" s="551">
        <v>0</v>
      </c>
    </row>
    <row r="10" spans="1:27">
      <c r="A10" s="552" t="s">
        <v>129</v>
      </c>
      <c r="B10" s="553" t="s">
        <v>505</v>
      </c>
      <c r="C10" s="760">
        <v>61726339.798165537</v>
      </c>
      <c r="D10" s="761">
        <v>54985909.266098946</v>
      </c>
      <c r="E10" s="761">
        <v>73945.880225533969</v>
      </c>
      <c r="F10" s="761">
        <v>0</v>
      </c>
      <c r="G10" s="761">
        <v>0</v>
      </c>
      <c r="H10" s="761">
        <v>4650642.4051845623</v>
      </c>
      <c r="I10" s="761">
        <v>541688.11591003882</v>
      </c>
      <c r="J10" s="761">
        <v>0</v>
      </c>
      <c r="K10" s="761">
        <v>0</v>
      </c>
      <c r="L10" s="761">
        <v>2089788.1268820334</v>
      </c>
      <c r="M10" s="761">
        <v>382402.48845390219</v>
      </c>
      <c r="N10" s="761">
        <v>249379.50015758153</v>
      </c>
      <c r="O10" s="761">
        <v>111991.90601085823</v>
      </c>
      <c r="P10" s="755">
        <v>0</v>
      </c>
      <c r="Q10" s="755">
        <v>0</v>
      </c>
      <c r="R10" s="755">
        <v>0</v>
      </c>
      <c r="S10" s="755">
        <v>0</v>
      </c>
      <c r="T10" s="755">
        <v>0</v>
      </c>
      <c r="U10" s="755">
        <v>0</v>
      </c>
      <c r="V10" s="755">
        <v>0</v>
      </c>
      <c r="W10" s="755">
        <v>0</v>
      </c>
      <c r="X10" s="755">
        <v>0</v>
      </c>
      <c r="Y10" s="755">
        <v>0</v>
      </c>
      <c r="Z10" s="755">
        <v>0</v>
      </c>
      <c r="AA10" s="755">
        <v>0</v>
      </c>
    </row>
    <row r="11" spans="1:27">
      <c r="A11" s="555" t="s">
        <v>506</v>
      </c>
      <c r="B11" s="556" t="s">
        <v>507</v>
      </c>
      <c r="C11" s="760">
        <v>55362952.341120586</v>
      </c>
      <c r="D11" s="758">
        <v>49089088.131498478</v>
      </c>
      <c r="E11" s="758">
        <v>73945.880225533969</v>
      </c>
      <c r="F11" s="758">
        <v>0</v>
      </c>
      <c r="G11" s="758">
        <v>0</v>
      </c>
      <c r="H11" s="758">
        <v>4381538.3352143755</v>
      </c>
      <c r="I11" s="758">
        <v>425445.34354018228</v>
      </c>
      <c r="J11" s="758">
        <v>0</v>
      </c>
      <c r="K11" s="758">
        <v>0</v>
      </c>
      <c r="L11" s="758">
        <v>1892325.8744077333</v>
      </c>
      <c r="M11" s="758">
        <v>382402.48845390219</v>
      </c>
      <c r="N11" s="758">
        <v>230620.22204076391</v>
      </c>
      <c r="O11" s="758">
        <v>111991.90601085823</v>
      </c>
      <c r="P11" s="550">
        <v>0</v>
      </c>
      <c r="Q11" s="550">
        <v>0</v>
      </c>
      <c r="R11" s="550">
        <v>0</v>
      </c>
      <c r="S11" s="550">
        <v>0</v>
      </c>
      <c r="T11" s="550">
        <v>0</v>
      </c>
      <c r="U11" s="550">
        <v>0</v>
      </c>
      <c r="V11" s="550">
        <v>0</v>
      </c>
      <c r="W11" s="550">
        <v>0</v>
      </c>
      <c r="X11" s="550">
        <v>0</v>
      </c>
      <c r="Y11" s="550">
        <v>0</v>
      </c>
      <c r="Z11" s="550">
        <v>0</v>
      </c>
      <c r="AA11" s="551">
        <v>0</v>
      </c>
    </row>
    <row r="12" spans="1:27">
      <c r="A12" s="555" t="s">
        <v>508</v>
      </c>
      <c r="B12" s="556" t="s">
        <v>509</v>
      </c>
      <c r="C12" s="760">
        <v>3681468.2519583055</v>
      </c>
      <c r="D12" s="758">
        <v>3526634.8780880556</v>
      </c>
      <c r="E12" s="758">
        <v>0</v>
      </c>
      <c r="F12" s="758">
        <v>0</v>
      </c>
      <c r="G12" s="758">
        <v>0</v>
      </c>
      <c r="H12" s="758">
        <v>112085.18084310467</v>
      </c>
      <c r="I12" s="758">
        <v>93535.967666126497</v>
      </c>
      <c r="J12" s="758">
        <v>0</v>
      </c>
      <c r="K12" s="758">
        <v>0</v>
      </c>
      <c r="L12" s="758">
        <v>42748.193027145055</v>
      </c>
      <c r="M12" s="758">
        <v>0</v>
      </c>
      <c r="N12" s="758">
        <v>0</v>
      </c>
      <c r="O12" s="758">
        <v>0</v>
      </c>
      <c r="P12" s="550">
        <v>0</v>
      </c>
      <c r="Q12" s="550">
        <v>0</v>
      </c>
      <c r="R12" s="550">
        <v>0</v>
      </c>
      <c r="S12" s="550">
        <v>0</v>
      </c>
      <c r="T12" s="550">
        <v>0</v>
      </c>
      <c r="U12" s="550">
        <v>0</v>
      </c>
      <c r="V12" s="550">
        <v>0</v>
      </c>
      <c r="W12" s="550">
        <v>0</v>
      </c>
      <c r="X12" s="550">
        <v>0</v>
      </c>
      <c r="Y12" s="550">
        <v>0</v>
      </c>
      <c r="Z12" s="550">
        <v>0</v>
      </c>
      <c r="AA12" s="551">
        <v>0</v>
      </c>
    </row>
    <row r="13" spans="1:27">
      <c r="A13" s="555" t="s">
        <v>510</v>
      </c>
      <c r="B13" s="556" t="s">
        <v>511</v>
      </c>
      <c r="C13" s="760">
        <v>860242.38543721172</v>
      </c>
      <c r="D13" s="758">
        <v>699625.92056745628</v>
      </c>
      <c r="E13" s="758">
        <v>0</v>
      </c>
      <c r="F13" s="758">
        <v>0</v>
      </c>
      <c r="G13" s="758">
        <v>0</v>
      </c>
      <c r="H13" s="758">
        <v>39750.149816852208</v>
      </c>
      <c r="I13" s="758">
        <v>0</v>
      </c>
      <c r="J13" s="758">
        <v>0</v>
      </c>
      <c r="K13" s="758">
        <v>0</v>
      </c>
      <c r="L13" s="758">
        <v>120866.31505290323</v>
      </c>
      <c r="M13" s="758">
        <v>0</v>
      </c>
      <c r="N13" s="758">
        <v>0</v>
      </c>
      <c r="O13" s="758">
        <v>0</v>
      </c>
      <c r="P13" s="550">
        <v>0</v>
      </c>
      <c r="Q13" s="550">
        <v>0</v>
      </c>
      <c r="R13" s="550">
        <v>0</v>
      </c>
      <c r="S13" s="550">
        <v>0</v>
      </c>
      <c r="T13" s="550">
        <v>0</v>
      </c>
      <c r="U13" s="550">
        <v>0</v>
      </c>
      <c r="V13" s="550">
        <v>0</v>
      </c>
      <c r="W13" s="550">
        <v>0</v>
      </c>
      <c r="X13" s="550">
        <v>0</v>
      </c>
      <c r="Y13" s="550">
        <v>0</v>
      </c>
      <c r="Z13" s="550">
        <v>0</v>
      </c>
      <c r="AA13" s="551">
        <v>0</v>
      </c>
    </row>
    <row r="14" spans="1:27">
      <c r="A14" s="555" t="s">
        <v>512</v>
      </c>
      <c r="B14" s="556" t="s">
        <v>513</v>
      </c>
      <c r="C14" s="760">
        <v>1821676.8196494363</v>
      </c>
      <c r="D14" s="758">
        <v>1670560.3359449548</v>
      </c>
      <c r="E14" s="758">
        <v>0</v>
      </c>
      <c r="F14" s="758">
        <v>0</v>
      </c>
      <c r="G14" s="758">
        <v>0</v>
      </c>
      <c r="H14" s="758">
        <v>117268.73931022971</v>
      </c>
      <c r="I14" s="758">
        <v>22706.8047037301</v>
      </c>
      <c r="J14" s="758">
        <v>0</v>
      </c>
      <c r="K14" s="758">
        <v>0</v>
      </c>
      <c r="L14" s="758">
        <v>33847.74439425188</v>
      </c>
      <c r="M14" s="758"/>
      <c r="N14" s="758">
        <v>18759.278116817619</v>
      </c>
      <c r="O14" s="758">
        <v>0</v>
      </c>
      <c r="P14" s="550">
        <v>0</v>
      </c>
      <c r="Q14" s="550">
        <v>0</v>
      </c>
      <c r="R14" s="550">
        <v>0</v>
      </c>
      <c r="S14" s="550">
        <v>0</v>
      </c>
      <c r="T14" s="550">
        <v>0</v>
      </c>
      <c r="U14" s="550">
        <v>0</v>
      </c>
      <c r="V14" s="550">
        <v>0</v>
      </c>
      <c r="W14" s="550">
        <v>0</v>
      </c>
      <c r="X14" s="550">
        <v>0</v>
      </c>
      <c r="Y14" s="550">
        <v>0</v>
      </c>
      <c r="Z14" s="550">
        <v>0</v>
      </c>
      <c r="AA14" s="551">
        <v>0</v>
      </c>
    </row>
    <row r="15" spans="1:27">
      <c r="A15" s="555">
        <v>1.2</v>
      </c>
      <c r="B15" s="556" t="s">
        <v>806</v>
      </c>
      <c r="C15" s="554">
        <v>3997596.379999998</v>
      </c>
      <c r="D15" s="758">
        <v>392021.239999999</v>
      </c>
      <c r="E15" s="758">
        <v>1945.55</v>
      </c>
      <c r="F15" s="550">
        <v>0</v>
      </c>
      <c r="G15" s="550">
        <v>0</v>
      </c>
      <c r="H15" s="550">
        <v>650662.21999999904</v>
      </c>
      <c r="I15" s="550">
        <v>87176.1</v>
      </c>
      <c r="J15" s="550">
        <v>35135.839999999997</v>
      </c>
      <c r="K15" s="550">
        <v>0</v>
      </c>
      <c r="L15" s="550">
        <v>2954912.92</v>
      </c>
      <c r="M15" s="550">
        <v>378903.57</v>
      </c>
      <c r="N15" s="550">
        <v>420586.59</v>
      </c>
      <c r="O15" s="550">
        <v>450015.02</v>
      </c>
      <c r="P15" s="550">
        <v>0</v>
      </c>
      <c r="Q15" s="550">
        <v>0</v>
      </c>
      <c r="R15" s="550">
        <v>0</v>
      </c>
      <c r="S15" s="550">
        <v>0</v>
      </c>
      <c r="T15" s="550">
        <v>0</v>
      </c>
      <c r="U15" s="550">
        <v>0</v>
      </c>
      <c r="V15" s="550">
        <v>0</v>
      </c>
      <c r="W15" s="550">
        <v>0</v>
      </c>
      <c r="X15" s="550">
        <v>0</v>
      </c>
      <c r="Y15" s="550">
        <v>0</v>
      </c>
      <c r="Z15" s="550">
        <v>0</v>
      </c>
      <c r="AA15" s="551">
        <v>0</v>
      </c>
    </row>
    <row r="16" spans="1:27">
      <c r="A16" s="552">
        <v>1.3</v>
      </c>
      <c r="B16" s="556" t="s">
        <v>514</v>
      </c>
      <c r="C16" s="557"/>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9"/>
    </row>
    <row r="17" spans="1:27" ht="27.6">
      <c r="A17" s="560" t="s">
        <v>515</v>
      </c>
      <c r="B17" s="561" t="s">
        <v>516</v>
      </c>
      <c r="C17" s="562">
        <v>164443995.04000854</v>
      </c>
      <c r="D17" s="550">
        <v>147873819.97682506</v>
      </c>
      <c r="E17" s="550">
        <v>469715.01719881658</v>
      </c>
      <c r="F17" s="550">
        <v>0</v>
      </c>
      <c r="G17" s="550">
        <v>0</v>
      </c>
      <c r="H17" s="550">
        <v>11265171.691559657</v>
      </c>
      <c r="I17" s="550">
        <v>1709888.3981573028</v>
      </c>
      <c r="J17" s="550">
        <v>572527.64017043088</v>
      </c>
      <c r="K17" s="550">
        <v>0</v>
      </c>
      <c r="L17" s="550">
        <v>5305003.3716238132</v>
      </c>
      <c r="M17" s="550">
        <v>649877.53717590705</v>
      </c>
      <c r="N17" s="550">
        <v>897026.91701493924</v>
      </c>
      <c r="O17" s="550">
        <v>1117743.485226752</v>
      </c>
      <c r="P17" s="550">
        <v>0</v>
      </c>
      <c r="Q17" s="550">
        <v>0</v>
      </c>
      <c r="R17" s="550">
        <v>0</v>
      </c>
      <c r="S17" s="550">
        <v>0</v>
      </c>
      <c r="T17" s="550">
        <v>0</v>
      </c>
      <c r="U17" s="550">
        <v>0</v>
      </c>
      <c r="V17" s="550">
        <v>0</v>
      </c>
      <c r="W17" s="550">
        <v>0</v>
      </c>
      <c r="X17" s="550">
        <v>0</v>
      </c>
      <c r="Y17" s="550">
        <v>0</v>
      </c>
      <c r="Z17" s="550">
        <v>0</v>
      </c>
      <c r="AA17" s="551">
        <v>0</v>
      </c>
    </row>
    <row r="18" spans="1:27" ht="27.6">
      <c r="A18" s="560" t="s">
        <v>517</v>
      </c>
      <c r="B18" s="561" t="s">
        <v>518</v>
      </c>
      <c r="C18" s="562">
        <v>61726339.798165545</v>
      </c>
      <c r="D18" s="550">
        <v>54985909.266098946</v>
      </c>
      <c r="E18" s="550">
        <v>73945.880225533969</v>
      </c>
      <c r="F18" s="550">
        <v>0</v>
      </c>
      <c r="G18" s="550">
        <v>0</v>
      </c>
      <c r="H18" s="550">
        <v>4650642.4051845632</v>
      </c>
      <c r="I18" s="550">
        <v>541688.11591003893</v>
      </c>
      <c r="J18" s="550">
        <v>0</v>
      </c>
      <c r="K18" s="550">
        <v>0</v>
      </c>
      <c r="L18" s="550">
        <v>2089788.1268820339</v>
      </c>
      <c r="M18" s="550">
        <v>382402.48845390219</v>
      </c>
      <c r="N18" s="550">
        <v>249379.50015758153</v>
      </c>
      <c r="O18" s="550">
        <v>111991.90601085823</v>
      </c>
      <c r="P18" s="550">
        <v>0</v>
      </c>
      <c r="Q18" s="550">
        <v>0</v>
      </c>
      <c r="R18" s="550">
        <v>0</v>
      </c>
      <c r="S18" s="550">
        <v>0</v>
      </c>
      <c r="T18" s="550">
        <v>0</v>
      </c>
      <c r="U18" s="550">
        <v>0</v>
      </c>
      <c r="V18" s="550">
        <v>0</v>
      </c>
      <c r="W18" s="550">
        <v>0</v>
      </c>
      <c r="X18" s="550">
        <v>0</v>
      </c>
      <c r="Y18" s="550">
        <v>0</v>
      </c>
      <c r="Z18" s="550">
        <v>0</v>
      </c>
      <c r="AA18" s="551">
        <v>0</v>
      </c>
    </row>
    <row r="19" spans="1:27">
      <c r="A19" s="560" t="s">
        <v>519</v>
      </c>
      <c r="B19" s="561" t="s">
        <v>520</v>
      </c>
      <c r="C19" s="562">
        <v>283050653.40999109</v>
      </c>
      <c r="D19" s="550">
        <v>253093325.48317462</v>
      </c>
      <c r="E19" s="550">
        <v>635824.46280118311</v>
      </c>
      <c r="F19" s="550">
        <v>0</v>
      </c>
      <c r="G19" s="550">
        <v>0</v>
      </c>
      <c r="H19" s="550">
        <v>21755401.968440313</v>
      </c>
      <c r="I19" s="550">
        <v>3337630.8518426972</v>
      </c>
      <c r="J19" s="550">
        <v>498177.35982956912</v>
      </c>
      <c r="K19" s="550">
        <v>0</v>
      </c>
      <c r="L19" s="550">
        <v>8201925.9583761869</v>
      </c>
      <c r="M19" s="550">
        <v>1678328.1328240933</v>
      </c>
      <c r="N19" s="550">
        <v>1029967.8129850609</v>
      </c>
      <c r="O19" s="550">
        <v>637698.52477324777</v>
      </c>
      <c r="P19" s="550">
        <v>0</v>
      </c>
      <c r="Q19" s="550">
        <v>0</v>
      </c>
      <c r="R19" s="550">
        <v>0</v>
      </c>
      <c r="S19" s="550">
        <v>0</v>
      </c>
      <c r="T19" s="550">
        <v>0</v>
      </c>
      <c r="U19" s="550">
        <v>0</v>
      </c>
      <c r="V19" s="550">
        <v>0</v>
      </c>
      <c r="W19" s="550">
        <v>0</v>
      </c>
      <c r="X19" s="550">
        <v>0</v>
      </c>
      <c r="Y19" s="550">
        <v>0</v>
      </c>
      <c r="Z19" s="550">
        <v>0</v>
      </c>
      <c r="AA19" s="551">
        <v>0</v>
      </c>
    </row>
    <row r="20" spans="1:27">
      <c r="A20" s="560" t="s">
        <v>521</v>
      </c>
      <c r="B20" s="561" t="s">
        <v>522</v>
      </c>
      <c r="C20" s="562">
        <v>222076530.19183433</v>
      </c>
      <c r="D20" s="550">
        <v>197874709.66390091</v>
      </c>
      <c r="E20" s="550">
        <v>323937.21977446601</v>
      </c>
      <c r="F20" s="550">
        <v>0</v>
      </c>
      <c r="G20" s="550">
        <v>0</v>
      </c>
      <c r="H20" s="550">
        <v>17153552.11481544</v>
      </c>
      <c r="I20" s="550">
        <v>2199991.4840899613</v>
      </c>
      <c r="J20" s="550">
        <v>0</v>
      </c>
      <c r="K20" s="550">
        <v>0</v>
      </c>
      <c r="L20" s="550">
        <v>7048268.4131179657</v>
      </c>
      <c r="M20" s="550">
        <v>1119544.5115460977</v>
      </c>
      <c r="N20" s="550">
        <v>884025.69984241843</v>
      </c>
      <c r="O20" s="550">
        <v>330413.43398914172</v>
      </c>
      <c r="P20" s="550">
        <v>0</v>
      </c>
      <c r="Q20" s="550">
        <v>0</v>
      </c>
      <c r="R20" s="550">
        <v>0</v>
      </c>
      <c r="S20" s="550">
        <v>0</v>
      </c>
      <c r="T20" s="550">
        <v>0</v>
      </c>
      <c r="U20" s="550">
        <v>0</v>
      </c>
      <c r="V20" s="550">
        <v>0</v>
      </c>
      <c r="W20" s="550">
        <v>0</v>
      </c>
      <c r="X20" s="550">
        <v>0</v>
      </c>
      <c r="Y20" s="550">
        <v>0</v>
      </c>
      <c r="Z20" s="550">
        <v>0</v>
      </c>
      <c r="AA20" s="551">
        <v>0</v>
      </c>
    </row>
    <row r="21" spans="1:27">
      <c r="A21" s="563">
        <v>1.4</v>
      </c>
      <c r="B21" s="561" t="s">
        <v>607</v>
      </c>
      <c r="C21" s="562">
        <v>0</v>
      </c>
      <c r="D21" s="550">
        <v>0</v>
      </c>
      <c r="E21" s="550">
        <v>0</v>
      </c>
      <c r="F21" s="550">
        <v>0</v>
      </c>
      <c r="G21" s="550">
        <v>0</v>
      </c>
      <c r="H21" s="550">
        <v>0</v>
      </c>
      <c r="I21" s="550">
        <v>0</v>
      </c>
      <c r="J21" s="550">
        <v>0</v>
      </c>
      <c r="K21" s="550">
        <v>0</v>
      </c>
      <c r="L21" s="550">
        <v>0</v>
      </c>
      <c r="M21" s="550">
        <v>0</v>
      </c>
      <c r="N21" s="550">
        <v>0</v>
      </c>
      <c r="O21" s="550">
        <v>0</v>
      </c>
      <c r="P21" s="550">
        <v>0</v>
      </c>
      <c r="Q21" s="550">
        <v>0</v>
      </c>
      <c r="R21" s="550">
        <v>0</v>
      </c>
      <c r="S21" s="550">
        <v>0</v>
      </c>
      <c r="T21" s="550">
        <v>0</v>
      </c>
      <c r="U21" s="550">
        <v>0</v>
      </c>
      <c r="V21" s="550">
        <v>0</v>
      </c>
      <c r="W21" s="550">
        <v>0</v>
      </c>
      <c r="X21" s="550">
        <v>0</v>
      </c>
      <c r="Y21" s="550">
        <v>0</v>
      </c>
      <c r="Z21" s="550">
        <v>0</v>
      </c>
      <c r="AA21" s="551">
        <v>0</v>
      </c>
    </row>
    <row r="22" spans="1:27" ht="28.2" thickBot="1">
      <c r="A22" s="564">
        <v>1.5</v>
      </c>
      <c r="B22" s="565" t="s">
        <v>914</v>
      </c>
      <c r="C22" s="566">
        <v>0</v>
      </c>
      <c r="D22" s="567">
        <v>0</v>
      </c>
      <c r="E22" s="567">
        <v>0</v>
      </c>
      <c r="F22" s="567">
        <v>0</v>
      </c>
      <c r="G22" s="567">
        <v>0</v>
      </c>
      <c r="H22" s="567">
        <v>0</v>
      </c>
      <c r="I22" s="567">
        <v>0</v>
      </c>
      <c r="J22" s="567">
        <v>0</v>
      </c>
      <c r="K22" s="567">
        <v>0</v>
      </c>
      <c r="L22" s="567">
        <v>0</v>
      </c>
      <c r="M22" s="567">
        <v>0</v>
      </c>
      <c r="N22" s="567">
        <v>0</v>
      </c>
      <c r="O22" s="567">
        <v>0</v>
      </c>
      <c r="P22" s="567">
        <v>0</v>
      </c>
      <c r="Q22" s="567">
        <v>0</v>
      </c>
      <c r="R22" s="567">
        <v>0</v>
      </c>
      <c r="S22" s="567">
        <v>0</v>
      </c>
      <c r="T22" s="567">
        <v>0</v>
      </c>
      <c r="U22" s="567">
        <v>0</v>
      </c>
      <c r="V22" s="567">
        <v>0</v>
      </c>
      <c r="W22" s="567">
        <v>0</v>
      </c>
      <c r="X22" s="567">
        <v>0</v>
      </c>
      <c r="Y22" s="567">
        <v>0</v>
      </c>
      <c r="Z22" s="567">
        <v>0</v>
      </c>
      <c r="AA22" s="568">
        <v>0</v>
      </c>
    </row>
    <row r="24" spans="1:27">
      <c r="C24" s="377"/>
      <c r="D24" s="754"/>
      <c r="E24" s="377"/>
      <c r="F24" s="377"/>
      <c r="G24" s="377"/>
      <c r="H24" s="754"/>
      <c r="I24" s="377"/>
      <c r="J24" s="377"/>
      <c r="K24" s="377"/>
      <c r="L24" s="754"/>
      <c r="M24" s="377"/>
      <c r="N24" s="377"/>
      <c r="O24" s="377"/>
      <c r="P24" s="377"/>
      <c r="Q24" s="377"/>
      <c r="R24" s="377"/>
      <c r="S24" s="377"/>
      <c r="T24" s="377"/>
      <c r="U24" s="377"/>
      <c r="V24" s="377"/>
      <c r="W24" s="377"/>
      <c r="X24" s="377"/>
      <c r="Y24" s="377"/>
      <c r="Z24" s="377"/>
      <c r="AA24" s="377"/>
    </row>
    <row r="25" spans="1:27">
      <c r="C25" s="573"/>
      <c r="D25" s="754"/>
      <c r="E25" s="377"/>
      <c r="F25" s="377"/>
      <c r="G25" s="377"/>
      <c r="H25" s="754"/>
      <c r="I25" s="377"/>
      <c r="J25" s="377"/>
      <c r="K25" s="377"/>
      <c r="L25" s="754"/>
    </row>
    <row r="26" spans="1:27">
      <c r="C26" s="377"/>
      <c r="D26" s="754"/>
      <c r="H26" s="754"/>
      <c r="L26" s="754"/>
    </row>
    <row r="27" spans="1:27">
      <c r="C27" s="377"/>
      <c r="D27" s="754"/>
      <c r="H27" s="754"/>
      <c r="L27" s="754"/>
    </row>
    <row r="28" spans="1:27">
      <c r="C28" s="377"/>
      <c r="D28" s="754"/>
      <c r="H28" s="754"/>
      <c r="L28" s="754"/>
    </row>
    <row r="29" spans="1:27">
      <c r="D29" s="754"/>
      <c r="H29" s="754"/>
      <c r="L29" s="754"/>
    </row>
    <row r="30" spans="1:27">
      <c r="D30" s="754"/>
      <c r="H30" s="754"/>
      <c r="L30" s="754"/>
    </row>
    <row r="31" spans="1:27">
      <c r="D31" s="754"/>
      <c r="E31" s="754"/>
      <c r="F31" s="754"/>
      <c r="G31" s="754"/>
      <c r="H31" s="754"/>
      <c r="I31" s="754"/>
      <c r="J31" s="754"/>
      <c r="K31" s="754"/>
      <c r="L31" s="754"/>
      <c r="M31" s="754"/>
      <c r="N31" s="754"/>
      <c r="O31" s="754"/>
    </row>
    <row r="32" spans="1:27">
      <c r="D32" s="756"/>
      <c r="E32" s="756"/>
      <c r="F32" s="756"/>
      <c r="G32" s="756"/>
      <c r="H32" s="756"/>
      <c r="I32" s="756"/>
      <c r="J32" s="756"/>
      <c r="K32" s="756"/>
      <c r="L32" s="756"/>
      <c r="M32" s="756"/>
      <c r="N32" s="756"/>
      <c r="O32" s="756"/>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36"/>
  <sheetViews>
    <sheetView showGridLines="0" zoomScale="80" zoomScaleNormal="80" workbookViewId="0">
      <pane xSplit="2" ySplit="6" topLeftCell="C7" activePane="bottomRight" state="frozen"/>
      <selection activeCell="B21" sqref="B21:C21"/>
      <selection pane="topRight" activeCell="B21" sqref="B21:C21"/>
      <selection pane="bottomLeft" activeCell="B21" sqref="B21:C21"/>
      <selection pane="bottomRight" activeCell="L33" sqref="C33:L33"/>
    </sheetView>
  </sheetViews>
  <sheetFormatPr defaultColWidth="9.21875" defaultRowHeight="12"/>
  <cols>
    <col min="1" max="1" width="14.109375" style="70" bestFit="1" customWidth="1"/>
    <col min="2" max="2" width="93.44140625" style="70" customWidth="1"/>
    <col min="3" max="3" width="14.6640625" style="70" customWidth="1"/>
    <col min="4" max="5" width="16.109375" style="70" customWidth="1"/>
    <col min="6" max="6" width="16.109375" style="82" customWidth="1"/>
    <col min="7" max="7" width="25.21875" style="82" customWidth="1"/>
    <col min="8" max="8" width="16.109375" style="70" customWidth="1"/>
    <col min="9" max="11" width="16.109375" style="82" customWidth="1"/>
    <col min="12" max="12" width="26.21875" style="82" customWidth="1"/>
    <col min="13" max="16384" width="9.21875" style="70"/>
  </cols>
  <sheetData>
    <row r="1" spans="1:12" ht="13.8">
      <c r="A1" s="342" t="s">
        <v>869</v>
      </c>
      <c r="B1" s="344" t="str">
        <f>Info!C2</f>
        <v>კრისტალი</v>
      </c>
      <c r="F1" s="70"/>
      <c r="G1" s="70"/>
      <c r="I1" s="70"/>
      <c r="J1" s="70"/>
      <c r="K1" s="70"/>
      <c r="L1" s="70"/>
    </row>
    <row r="2" spans="1:12" ht="13.8">
      <c r="A2" s="342" t="s">
        <v>88</v>
      </c>
      <c r="B2" s="343">
        <f>'1. key ratios'!B2</f>
        <v>46022</v>
      </c>
      <c r="F2" s="70"/>
      <c r="G2" s="70"/>
      <c r="I2" s="70"/>
      <c r="J2" s="70"/>
      <c r="K2" s="70"/>
      <c r="L2" s="70"/>
    </row>
    <row r="3" spans="1:12">
      <c r="A3" s="50" t="s">
        <v>524</v>
      </c>
      <c r="F3" s="70"/>
      <c r="G3" s="70"/>
      <c r="I3" s="70"/>
      <c r="J3" s="70"/>
      <c r="K3" s="70"/>
      <c r="L3" s="70"/>
    </row>
    <row r="4" spans="1:12">
      <c r="F4" s="70"/>
      <c r="G4" s="70"/>
      <c r="I4" s="70"/>
      <c r="J4" s="70"/>
      <c r="K4" s="70"/>
      <c r="L4" s="70"/>
    </row>
    <row r="5" spans="1:12">
      <c r="A5" s="850" t="s">
        <v>525</v>
      </c>
      <c r="B5" s="851"/>
      <c r="C5" s="894" t="s">
        <v>526</v>
      </c>
      <c r="D5" s="895"/>
      <c r="E5" s="895"/>
      <c r="F5" s="895"/>
      <c r="G5" s="895"/>
      <c r="H5" s="894" t="s">
        <v>818</v>
      </c>
      <c r="I5" s="896"/>
      <c r="J5" s="896"/>
      <c r="K5" s="896"/>
      <c r="L5" s="897"/>
    </row>
    <row r="6" spans="1:12" ht="66" customHeight="1">
      <c r="A6" s="852"/>
      <c r="B6" s="853"/>
      <c r="C6" s="51"/>
      <c r="D6" s="68" t="s">
        <v>803</v>
      </c>
      <c r="E6" s="68" t="s">
        <v>802</v>
      </c>
      <c r="F6" s="68" t="s">
        <v>801</v>
      </c>
      <c r="G6" s="68" t="s">
        <v>800</v>
      </c>
      <c r="H6" s="83"/>
      <c r="I6" s="68" t="s">
        <v>803</v>
      </c>
      <c r="J6" s="68" t="s">
        <v>802</v>
      </c>
      <c r="K6" s="68" t="s">
        <v>801</v>
      </c>
      <c r="L6" s="68" t="s">
        <v>800</v>
      </c>
    </row>
    <row r="7" spans="1:12">
      <c r="A7" s="65">
        <v>1</v>
      </c>
      <c r="B7" s="71" t="s">
        <v>449</v>
      </c>
      <c r="C7" s="530">
        <v>0</v>
      </c>
      <c r="D7" s="508">
        <v>0</v>
      </c>
      <c r="E7" s="508">
        <v>0</v>
      </c>
      <c r="F7" s="529">
        <v>0</v>
      </c>
      <c r="G7" s="529">
        <v>0</v>
      </c>
      <c r="H7" s="530">
        <v>0</v>
      </c>
      <c r="I7" s="508">
        <v>0</v>
      </c>
      <c r="J7" s="508">
        <v>0</v>
      </c>
      <c r="K7" s="529">
        <v>0</v>
      </c>
      <c r="L7" s="529">
        <v>0</v>
      </c>
    </row>
    <row r="8" spans="1:12">
      <c r="A8" s="65">
        <v>2</v>
      </c>
      <c r="B8" s="71" t="s">
        <v>450</v>
      </c>
      <c r="C8" s="530">
        <v>0</v>
      </c>
      <c r="D8" s="508">
        <v>0</v>
      </c>
      <c r="E8" s="508">
        <v>0</v>
      </c>
      <c r="F8" s="529">
        <v>0</v>
      </c>
      <c r="G8" s="529">
        <v>0</v>
      </c>
      <c r="H8" s="530">
        <v>0</v>
      </c>
      <c r="I8" s="508">
        <v>0</v>
      </c>
      <c r="J8" s="508">
        <v>0</v>
      </c>
      <c r="K8" s="529">
        <v>0</v>
      </c>
      <c r="L8" s="529">
        <v>0</v>
      </c>
    </row>
    <row r="9" spans="1:12">
      <c r="A9" s="65">
        <v>3</v>
      </c>
      <c r="B9" s="71" t="s">
        <v>779</v>
      </c>
      <c r="C9" s="530">
        <v>0</v>
      </c>
      <c r="D9" s="508">
        <v>0</v>
      </c>
      <c r="E9" s="508">
        <v>0</v>
      </c>
      <c r="F9" s="529">
        <v>0</v>
      </c>
      <c r="G9" s="529">
        <v>0</v>
      </c>
      <c r="H9" s="530">
        <v>0</v>
      </c>
      <c r="I9" s="508">
        <v>0</v>
      </c>
      <c r="J9" s="508">
        <v>0</v>
      </c>
      <c r="K9" s="529">
        <v>0</v>
      </c>
      <c r="L9" s="529">
        <v>0</v>
      </c>
    </row>
    <row r="10" spans="1:12">
      <c r="A10" s="65">
        <v>4</v>
      </c>
      <c r="B10" s="71" t="s">
        <v>451</v>
      </c>
      <c r="C10" s="530">
        <v>0</v>
      </c>
      <c r="D10" s="508">
        <v>0</v>
      </c>
      <c r="E10" s="508">
        <v>0</v>
      </c>
      <c r="F10" s="529">
        <v>0</v>
      </c>
      <c r="G10" s="529">
        <v>0</v>
      </c>
      <c r="H10" s="530">
        <v>0</v>
      </c>
      <c r="I10" s="508">
        <v>0</v>
      </c>
      <c r="J10" s="508">
        <v>0</v>
      </c>
      <c r="K10" s="529">
        <v>0</v>
      </c>
      <c r="L10" s="529">
        <v>0</v>
      </c>
    </row>
    <row r="11" spans="1:12">
      <c r="A11" s="65">
        <v>5</v>
      </c>
      <c r="B11" s="71" t="s">
        <v>452</v>
      </c>
      <c r="C11" s="530">
        <v>0</v>
      </c>
      <c r="D11" s="508">
        <v>0</v>
      </c>
      <c r="E11" s="508">
        <v>0</v>
      </c>
      <c r="F11" s="529">
        <v>0</v>
      </c>
      <c r="G11" s="529">
        <v>0</v>
      </c>
      <c r="H11" s="530">
        <v>0</v>
      </c>
      <c r="I11" s="508">
        <v>0</v>
      </c>
      <c r="J11" s="508">
        <v>0</v>
      </c>
      <c r="K11" s="529">
        <v>0</v>
      </c>
      <c r="L11" s="529">
        <v>0</v>
      </c>
    </row>
    <row r="12" spans="1:12">
      <c r="A12" s="65">
        <v>6</v>
      </c>
      <c r="B12" s="71" t="s">
        <v>453</v>
      </c>
      <c r="C12" s="530">
        <v>0</v>
      </c>
      <c r="D12" s="508">
        <v>0</v>
      </c>
      <c r="E12" s="508">
        <v>0</v>
      </c>
      <c r="F12" s="529">
        <v>0</v>
      </c>
      <c r="G12" s="529">
        <v>0</v>
      </c>
      <c r="H12" s="530">
        <v>0</v>
      </c>
      <c r="I12" s="508">
        <v>0</v>
      </c>
      <c r="J12" s="508">
        <v>0</v>
      </c>
      <c r="K12" s="529">
        <v>0</v>
      </c>
      <c r="L12" s="529">
        <v>0</v>
      </c>
    </row>
    <row r="13" spans="1:12">
      <c r="A13" s="65">
        <v>7</v>
      </c>
      <c r="B13" s="71" t="s">
        <v>454</v>
      </c>
      <c r="C13" s="530">
        <v>0</v>
      </c>
      <c r="D13" s="508">
        <v>0</v>
      </c>
      <c r="E13" s="508">
        <v>0</v>
      </c>
      <c r="F13" s="529">
        <v>0</v>
      </c>
      <c r="G13" s="529">
        <v>0</v>
      </c>
      <c r="H13" s="530">
        <v>0</v>
      </c>
      <c r="I13" s="508">
        <v>0</v>
      </c>
      <c r="J13" s="508">
        <v>0</v>
      </c>
      <c r="K13" s="529">
        <v>0</v>
      </c>
      <c r="L13" s="529">
        <v>0</v>
      </c>
    </row>
    <row r="14" spans="1:12">
      <c r="A14" s="65">
        <v>8</v>
      </c>
      <c r="B14" s="71" t="s">
        <v>455</v>
      </c>
      <c r="C14" s="530">
        <v>0</v>
      </c>
      <c r="D14" s="508">
        <v>0</v>
      </c>
      <c r="E14" s="508">
        <v>0</v>
      </c>
      <c r="F14" s="529">
        <v>0</v>
      </c>
      <c r="G14" s="529">
        <v>0</v>
      </c>
      <c r="H14" s="530">
        <v>0</v>
      </c>
      <c r="I14" s="508">
        <v>0</v>
      </c>
      <c r="J14" s="508">
        <v>0</v>
      </c>
      <c r="K14" s="529">
        <v>0</v>
      </c>
      <c r="L14" s="529">
        <v>0</v>
      </c>
    </row>
    <row r="15" spans="1:12">
      <c r="A15" s="65">
        <v>9</v>
      </c>
      <c r="B15" s="71" t="s">
        <v>456</v>
      </c>
      <c r="C15" s="530">
        <v>0</v>
      </c>
      <c r="D15" s="508">
        <v>0</v>
      </c>
      <c r="E15" s="508">
        <v>0</v>
      </c>
      <c r="F15" s="529">
        <v>0</v>
      </c>
      <c r="G15" s="529">
        <v>0</v>
      </c>
      <c r="H15" s="530">
        <v>0</v>
      </c>
      <c r="I15" s="508">
        <v>0</v>
      </c>
      <c r="J15" s="508">
        <v>0</v>
      </c>
      <c r="K15" s="529">
        <v>0</v>
      </c>
      <c r="L15" s="529">
        <v>0</v>
      </c>
    </row>
    <row r="16" spans="1:12">
      <c r="A16" s="65">
        <v>10</v>
      </c>
      <c r="B16" s="71" t="s">
        <v>457</v>
      </c>
      <c r="C16" s="530">
        <v>0</v>
      </c>
      <c r="D16" s="508">
        <v>0</v>
      </c>
      <c r="E16" s="508">
        <v>0</v>
      </c>
      <c r="F16" s="529">
        <v>0</v>
      </c>
      <c r="G16" s="529">
        <v>0</v>
      </c>
      <c r="H16" s="530">
        <v>0</v>
      </c>
      <c r="I16" s="508">
        <v>0</v>
      </c>
      <c r="J16" s="508">
        <v>0</v>
      </c>
      <c r="K16" s="529">
        <v>0</v>
      </c>
      <c r="L16" s="529">
        <v>0</v>
      </c>
    </row>
    <row r="17" spans="1:12">
      <c r="A17" s="65">
        <v>11</v>
      </c>
      <c r="B17" s="71" t="s">
        <v>458</v>
      </c>
      <c r="C17" s="530">
        <v>0</v>
      </c>
      <c r="D17" s="508">
        <v>0</v>
      </c>
      <c r="E17" s="508">
        <v>0</v>
      </c>
      <c r="F17" s="529">
        <v>0</v>
      </c>
      <c r="G17" s="529">
        <v>0</v>
      </c>
      <c r="H17" s="530">
        <v>0</v>
      </c>
      <c r="I17" s="508">
        <v>0</v>
      </c>
      <c r="J17" s="508">
        <v>0</v>
      </c>
      <c r="K17" s="529">
        <v>0</v>
      </c>
      <c r="L17" s="529">
        <v>0</v>
      </c>
    </row>
    <row r="18" spans="1:12">
      <c r="A18" s="65">
        <v>12</v>
      </c>
      <c r="B18" s="71" t="s">
        <v>459</v>
      </c>
      <c r="C18" s="530">
        <v>66030211.262575701</v>
      </c>
      <c r="D18" s="508">
        <v>60444312.825885095</v>
      </c>
      <c r="E18" s="508">
        <v>3287466.1049534325</v>
      </c>
      <c r="F18" s="529">
        <v>2298432.331737176</v>
      </c>
      <c r="G18" s="529">
        <v>0</v>
      </c>
      <c r="H18" s="530">
        <v>2679100.4100000029</v>
      </c>
      <c r="I18" s="508">
        <v>550740.46000000299</v>
      </c>
      <c r="J18" s="508">
        <v>347341.46</v>
      </c>
      <c r="K18" s="529">
        <v>1781018.49</v>
      </c>
      <c r="L18" s="529">
        <v>0</v>
      </c>
    </row>
    <row r="19" spans="1:12">
      <c r="A19" s="65">
        <v>13</v>
      </c>
      <c r="B19" s="71" t="s">
        <v>460</v>
      </c>
      <c r="C19" s="530">
        <v>14367137.14717187</v>
      </c>
      <c r="D19" s="508">
        <v>13080473.141013622</v>
      </c>
      <c r="E19" s="508">
        <v>792303.84881847678</v>
      </c>
      <c r="F19" s="529">
        <v>494360.15733977116</v>
      </c>
      <c r="G19" s="529">
        <v>0</v>
      </c>
      <c r="H19" s="530">
        <v>600374.07999999996</v>
      </c>
      <c r="I19" s="508">
        <v>115821.38</v>
      </c>
      <c r="J19" s="508">
        <v>104741.84</v>
      </c>
      <c r="K19" s="529">
        <v>379810.86</v>
      </c>
      <c r="L19" s="529">
        <v>0</v>
      </c>
    </row>
    <row r="20" spans="1:12">
      <c r="A20" s="65">
        <v>14</v>
      </c>
      <c r="B20" s="71" t="s">
        <v>461</v>
      </c>
      <c r="C20" s="530">
        <v>0</v>
      </c>
      <c r="D20" s="508">
        <v>0</v>
      </c>
      <c r="E20" s="508">
        <v>0</v>
      </c>
      <c r="F20" s="529">
        <v>0</v>
      </c>
      <c r="G20" s="529">
        <v>0</v>
      </c>
      <c r="H20" s="530">
        <v>0</v>
      </c>
      <c r="I20" s="508">
        <v>0</v>
      </c>
      <c r="J20" s="508">
        <v>0</v>
      </c>
      <c r="K20" s="529">
        <v>0</v>
      </c>
      <c r="L20" s="529">
        <v>0</v>
      </c>
    </row>
    <row r="21" spans="1:12">
      <c r="A21" s="65">
        <v>15</v>
      </c>
      <c r="B21" s="71" t="s">
        <v>462</v>
      </c>
      <c r="C21" s="530">
        <v>0</v>
      </c>
      <c r="D21" s="508">
        <v>0</v>
      </c>
      <c r="E21" s="508">
        <v>0</v>
      </c>
      <c r="F21" s="529">
        <v>0</v>
      </c>
      <c r="G21" s="529">
        <v>0</v>
      </c>
      <c r="H21" s="530">
        <v>0</v>
      </c>
      <c r="I21" s="508">
        <v>0</v>
      </c>
      <c r="J21" s="508">
        <v>0</v>
      </c>
      <c r="K21" s="529">
        <v>0</v>
      </c>
      <c r="L21" s="529">
        <v>0</v>
      </c>
    </row>
    <row r="22" spans="1:12">
      <c r="A22" s="65">
        <v>16</v>
      </c>
      <c r="B22" s="71" t="s">
        <v>463</v>
      </c>
      <c r="C22" s="530">
        <v>0</v>
      </c>
      <c r="D22" s="508">
        <v>0</v>
      </c>
      <c r="E22" s="508">
        <v>0</v>
      </c>
      <c r="F22" s="529">
        <v>0</v>
      </c>
      <c r="G22" s="529">
        <v>0</v>
      </c>
      <c r="H22" s="530">
        <v>0</v>
      </c>
      <c r="I22" s="508">
        <v>0</v>
      </c>
      <c r="J22" s="508">
        <v>0</v>
      </c>
      <c r="K22" s="529">
        <v>0</v>
      </c>
      <c r="L22" s="529">
        <v>0</v>
      </c>
    </row>
    <row r="23" spans="1:12">
      <c r="A23" s="65">
        <v>17</v>
      </c>
      <c r="B23" s="71" t="s">
        <v>464</v>
      </c>
      <c r="C23" s="530">
        <v>0</v>
      </c>
      <c r="D23" s="508">
        <v>0</v>
      </c>
      <c r="E23" s="508">
        <v>0</v>
      </c>
      <c r="F23" s="529">
        <v>0</v>
      </c>
      <c r="G23" s="529">
        <v>0</v>
      </c>
      <c r="H23" s="530">
        <v>0</v>
      </c>
      <c r="I23" s="508">
        <v>0</v>
      </c>
      <c r="J23" s="508">
        <v>0</v>
      </c>
      <c r="K23" s="529">
        <v>0</v>
      </c>
      <c r="L23" s="529">
        <v>0</v>
      </c>
    </row>
    <row r="24" spans="1:12">
      <c r="A24" s="65">
        <v>18</v>
      </c>
      <c r="B24" s="71" t="s">
        <v>465</v>
      </c>
      <c r="C24" s="530">
        <v>0</v>
      </c>
      <c r="D24" s="508">
        <v>0</v>
      </c>
      <c r="E24" s="508">
        <v>0</v>
      </c>
      <c r="F24" s="529">
        <v>0</v>
      </c>
      <c r="G24" s="529">
        <v>0</v>
      </c>
      <c r="H24" s="530">
        <v>0</v>
      </c>
      <c r="I24" s="508">
        <v>0</v>
      </c>
      <c r="J24" s="508">
        <v>0</v>
      </c>
      <c r="K24" s="529">
        <v>0</v>
      </c>
      <c r="L24" s="529">
        <v>0</v>
      </c>
    </row>
    <row r="25" spans="1:12">
      <c r="A25" s="65">
        <v>19</v>
      </c>
      <c r="B25" s="71" t="s">
        <v>466</v>
      </c>
      <c r="C25" s="530">
        <v>0</v>
      </c>
      <c r="D25" s="508">
        <v>0</v>
      </c>
      <c r="E25" s="508">
        <v>0</v>
      </c>
      <c r="F25" s="529">
        <v>0</v>
      </c>
      <c r="G25" s="529">
        <v>0</v>
      </c>
      <c r="H25" s="530">
        <v>0</v>
      </c>
      <c r="I25" s="508">
        <v>0</v>
      </c>
      <c r="J25" s="508">
        <v>0</v>
      </c>
      <c r="K25" s="529">
        <v>0</v>
      </c>
      <c r="L25" s="529">
        <v>0</v>
      </c>
    </row>
    <row r="26" spans="1:12">
      <c r="A26" s="65">
        <v>20</v>
      </c>
      <c r="B26" s="71" t="s">
        <v>467</v>
      </c>
      <c r="C26" s="530">
        <v>0</v>
      </c>
      <c r="D26" s="508">
        <v>0</v>
      </c>
      <c r="E26" s="508">
        <v>0</v>
      </c>
      <c r="F26" s="529">
        <v>0</v>
      </c>
      <c r="G26" s="529">
        <v>0</v>
      </c>
      <c r="H26" s="530">
        <v>0</v>
      </c>
      <c r="I26" s="508">
        <v>0</v>
      </c>
      <c r="J26" s="508">
        <v>0</v>
      </c>
      <c r="K26" s="529">
        <v>0</v>
      </c>
      <c r="L26" s="529">
        <v>0</v>
      </c>
    </row>
    <row r="27" spans="1:12">
      <c r="A27" s="65">
        <v>21</v>
      </c>
      <c r="B27" s="71" t="s">
        <v>468</v>
      </c>
      <c r="C27" s="530">
        <v>0</v>
      </c>
      <c r="D27" s="508">
        <v>0</v>
      </c>
      <c r="E27" s="508">
        <v>0</v>
      </c>
      <c r="F27" s="529">
        <v>0</v>
      </c>
      <c r="G27" s="529">
        <v>0</v>
      </c>
      <c r="H27" s="530">
        <v>0</v>
      </c>
      <c r="I27" s="508">
        <v>0</v>
      </c>
      <c r="J27" s="508">
        <v>0</v>
      </c>
      <c r="K27" s="529">
        <v>0</v>
      </c>
      <c r="L27" s="529">
        <v>0</v>
      </c>
    </row>
    <row r="28" spans="1:12">
      <c r="A28" s="65">
        <v>22</v>
      </c>
      <c r="B28" s="71" t="s">
        <v>469</v>
      </c>
      <c r="C28" s="530">
        <v>0</v>
      </c>
      <c r="D28" s="508">
        <v>0</v>
      </c>
      <c r="E28" s="508">
        <v>0</v>
      </c>
      <c r="F28" s="529">
        <v>0</v>
      </c>
      <c r="G28" s="529">
        <v>0</v>
      </c>
      <c r="H28" s="530">
        <v>0</v>
      </c>
      <c r="I28" s="508">
        <v>0</v>
      </c>
      <c r="J28" s="508">
        <v>0</v>
      </c>
      <c r="K28" s="529">
        <v>0</v>
      </c>
      <c r="L28" s="529">
        <v>0</v>
      </c>
    </row>
    <row r="29" spans="1:12">
      <c r="A29" s="65">
        <v>23</v>
      </c>
      <c r="B29" s="71" t="s">
        <v>470</v>
      </c>
      <c r="C29" s="530">
        <v>171031953.62775651</v>
      </c>
      <c r="D29" s="508">
        <v>154940810.27958569</v>
      </c>
      <c r="E29" s="508">
        <v>8881774.3004672844</v>
      </c>
      <c r="F29" s="529">
        <v>7209369.0477035232</v>
      </c>
      <c r="G29" s="529">
        <v>0</v>
      </c>
      <c r="H29" s="530">
        <v>7490201.8900000192</v>
      </c>
      <c r="I29" s="508">
        <v>1392164.0500000201</v>
      </c>
      <c r="J29" s="508">
        <v>729453.87</v>
      </c>
      <c r="K29" s="529">
        <v>5368583.97</v>
      </c>
      <c r="L29" s="529">
        <v>0</v>
      </c>
    </row>
    <row r="30" spans="1:12">
      <c r="A30" s="65">
        <v>24</v>
      </c>
      <c r="B30" s="71" t="s">
        <v>471</v>
      </c>
      <c r="C30" s="530">
        <v>97515923.958656192</v>
      </c>
      <c r="D30" s="508">
        <v>87099873.665931985</v>
      </c>
      <c r="E30" s="508">
        <v>5850903.8495609108</v>
      </c>
      <c r="F30" s="529">
        <v>4565146.4431632934</v>
      </c>
      <c r="G30" s="529">
        <v>0</v>
      </c>
      <c r="H30" s="530">
        <v>4885500.0200000051</v>
      </c>
      <c r="I30" s="508">
        <v>626112.620000005</v>
      </c>
      <c r="J30" s="508">
        <v>592297.75</v>
      </c>
      <c r="K30" s="529">
        <v>3667089.65</v>
      </c>
      <c r="L30" s="529">
        <v>0</v>
      </c>
    </row>
    <row r="31" spans="1:12">
      <c r="A31" s="65">
        <v>25</v>
      </c>
      <c r="B31" s="71" t="s">
        <v>472</v>
      </c>
      <c r="C31" s="530">
        <v>221522694.60793495</v>
      </c>
      <c r="D31" s="717">
        <v>205828996.23853183</v>
      </c>
      <c r="E31" s="717">
        <v>10254061.710075039</v>
      </c>
      <c r="F31" s="718">
        <v>5439636.6593280882</v>
      </c>
      <c r="G31" s="529">
        <v>0</v>
      </c>
      <c r="H31" s="530">
        <v>5101688.6000000192</v>
      </c>
      <c r="I31" s="508">
        <v>963492.93000001903</v>
      </c>
      <c r="J31" s="508">
        <v>566074.81000000006</v>
      </c>
      <c r="K31" s="529">
        <v>3572120.86</v>
      </c>
      <c r="L31" s="529">
        <v>0</v>
      </c>
    </row>
    <row r="32" spans="1:12">
      <c r="A32" s="65">
        <v>26</v>
      </c>
      <c r="B32" s="71" t="s">
        <v>527</v>
      </c>
      <c r="C32" s="530">
        <v>0</v>
      </c>
      <c r="D32" s="508">
        <v>0</v>
      </c>
      <c r="E32" s="508">
        <v>0</v>
      </c>
      <c r="F32" s="529">
        <v>0</v>
      </c>
      <c r="G32" s="529">
        <v>0</v>
      </c>
      <c r="H32" s="530">
        <v>0</v>
      </c>
      <c r="I32" s="508">
        <v>0</v>
      </c>
      <c r="J32" s="508">
        <v>0</v>
      </c>
      <c r="K32" s="529">
        <v>0</v>
      </c>
      <c r="L32" s="529">
        <v>0</v>
      </c>
    </row>
    <row r="33" spans="1:21" s="533" customFormat="1">
      <c r="A33" s="66">
        <v>27</v>
      </c>
      <c r="B33" s="90" t="s">
        <v>59</v>
      </c>
      <c r="C33" s="531">
        <f>SUM(C7:C32)</f>
        <v>570467920.60409522</v>
      </c>
      <c r="D33" s="507">
        <f t="shared" ref="D33:L33" si="0">SUM(D7:D32)</f>
        <v>521394466.15094823</v>
      </c>
      <c r="E33" s="507">
        <f t="shared" si="0"/>
        <v>29066509.813875142</v>
      </c>
      <c r="F33" s="532">
        <f t="shared" si="0"/>
        <v>20006944.639271852</v>
      </c>
      <c r="G33" s="532">
        <f t="shared" si="0"/>
        <v>0</v>
      </c>
      <c r="H33" s="507">
        <f t="shared" si="0"/>
        <v>20756865.000000045</v>
      </c>
      <c r="I33" s="532">
        <f t="shared" si="0"/>
        <v>3648331.440000047</v>
      </c>
      <c r="J33" s="532">
        <f t="shared" si="0"/>
        <v>2339909.73</v>
      </c>
      <c r="K33" s="532">
        <f t="shared" si="0"/>
        <v>14768623.83</v>
      </c>
      <c r="L33" s="532">
        <f t="shared" si="0"/>
        <v>0</v>
      </c>
    </row>
    <row r="34" spans="1:21">
      <c r="F34" s="70"/>
      <c r="G34" s="70"/>
      <c r="I34" s="70"/>
      <c r="J34" s="70"/>
      <c r="K34" s="70"/>
      <c r="L34" s="70"/>
    </row>
    <row r="35" spans="1:21">
      <c r="B35" s="89"/>
      <c r="C35" s="89"/>
      <c r="D35" s="89"/>
      <c r="E35" s="89"/>
      <c r="F35" s="89"/>
      <c r="G35" s="89"/>
      <c r="H35" s="89"/>
      <c r="I35" s="89"/>
      <c r="J35" s="89"/>
      <c r="K35" s="89"/>
      <c r="L35" s="89"/>
      <c r="M35" s="89"/>
      <c r="N35" s="89"/>
      <c r="O35" s="89"/>
      <c r="P35" s="89"/>
      <c r="Q35" s="89"/>
      <c r="R35" s="89"/>
      <c r="S35" s="89"/>
      <c r="T35" s="89"/>
      <c r="U35" s="89"/>
    </row>
    <row r="36" spans="1:21">
      <c r="F36" s="70"/>
      <c r="G36" s="70"/>
      <c r="I36" s="70"/>
      <c r="J36" s="70"/>
      <c r="K36" s="70"/>
      <c r="L36" s="7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3"/>
  <sheetViews>
    <sheetView showGridLines="0" zoomScale="80" zoomScaleNormal="80" workbookViewId="0">
      <pane xSplit="2" ySplit="5" topLeftCell="G6" activePane="bottomRight" state="frozen"/>
      <selection activeCell="B21" sqref="B21:C21"/>
      <selection pane="topRight" activeCell="B21" sqref="B21:C21"/>
      <selection pane="bottomLeft" activeCell="B21" sqref="B21:C21"/>
      <selection pane="bottomRight" activeCell="G16" sqref="G16"/>
    </sheetView>
  </sheetViews>
  <sheetFormatPr defaultColWidth="8.77734375" defaultRowHeight="12"/>
  <cols>
    <col min="1" max="1" width="12.77734375" style="542" bestFit="1" customWidth="1"/>
    <col min="2" max="2" width="57.88671875" style="542" bestFit="1" customWidth="1"/>
    <col min="3" max="11" width="28.21875" style="542" customWidth="1"/>
    <col min="12" max="16384" width="8.77734375" style="542"/>
  </cols>
  <sheetData>
    <row r="1" spans="1:11" s="521" customFormat="1" ht="13.8">
      <c r="A1" s="342" t="s">
        <v>869</v>
      </c>
      <c r="B1" s="344" t="str">
        <f>Info!C2</f>
        <v>კრისტალი</v>
      </c>
      <c r="C1" s="509"/>
      <c r="D1" s="509"/>
      <c r="E1" s="509"/>
      <c r="F1" s="509"/>
      <c r="G1" s="509"/>
      <c r="H1" s="509"/>
      <c r="I1" s="509"/>
      <c r="J1" s="509"/>
      <c r="K1" s="509"/>
    </row>
    <row r="2" spans="1:11" s="521" customFormat="1" ht="13.8">
      <c r="A2" s="342" t="s">
        <v>88</v>
      </c>
      <c r="B2" s="343">
        <f>'1. key ratios'!B2</f>
        <v>46022</v>
      </c>
      <c r="C2" s="509"/>
      <c r="D2" s="509"/>
      <c r="E2" s="509"/>
      <c r="F2" s="509"/>
      <c r="G2" s="509"/>
      <c r="H2" s="509"/>
      <c r="I2" s="509"/>
      <c r="J2" s="509"/>
      <c r="K2" s="509"/>
    </row>
    <row r="3" spans="1:11" s="521" customFormat="1">
      <c r="A3" s="510" t="s">
        <v>528</v>
      </c>
      <c r="B3" s="509"/>
      <c r="C3" s="509"/>
      <c r="D3" s="509"/>
      <c r="E3" s="509"/>
      <c r="F3" s="509"/>
      <c r="G3" s="509"/>
      <c r="H3" s="509"/>
      <c r="I3" s="509"/>
      <c r="J3" s="509"/>
      <c r="K3" s="509"/>
    </row>
    <row r="4" spans="1:11">
      <c r="A4" s="541"/>
      <c r="B4" s="541"/>
      <c r="C4" s="93" t="s">
        <v>433</v>
      </c>
      <c r="D4" s="93" t="s">
        <v>434</v>
      </c>
      <c r="E4" s="93" t="s">
        <v>435</v>
      </c>
      <c r="F4" s="93" t="s">
        <v>436</v>
      </c>
      <c r="G4" s="93" t="s">
        <v>437</v>
      </c>
      <c r="H4" s="93" t="s">
        <v>438</v>
      </c>
      <c r="I4" s="93" t="s">
        <v>439</v>
      </c>
      <c r="J4" s="93" t="s">
        <v>440</v>
      </c>
      <c r="K4" s="93" t="s">
        <v>441</v>
      </c>
    </row>
    <row r="5" spans="1:11" ht="103.8" customHeight="1">
      <c r="A5" s="898" t="s">
        <v>817</v>
      </c>
      <c r="B5" s="899"/>
      <c r="C5" s="92" t="s">
        <v>529</v>
      </c>
      <c r="D5" s="92" t="s">
        <v>523</v>
      </c>
      <c r="E5" s="92" t="s">
        <v>915</v>
      </c>
      <c r="F5" s="92" t="s">
        <v>816</v>
      </c>
      <c r="G5" s="92" t="s">
        <v>530</v>
      </c>
      <c r="H5" s="92" t="s">
        <v>531</v>
      </c>
      <c r="I5" s="92" t="s">
        <v>532</v>
      </c>
      <c r="J5" s="92" t="s">
        <v>533</v>
      </c>
      <c r="K5" s="92" t="s">
        <v>534</v>
      </c>
    </row>
    <row r="6" spans="1:11">
      <c r="A6" s="515">
        <v>1</v>
      </c>
      <c r="B6" s="515" t="s">
        <v>535</v>
      </c>
      <c r="C6" s="518">
        <v>0</v>
      </c>
      <c r="D6" s="518">
        <v>0</v>
      </c>
      <c r="E6" s="518">
        <v>0</v>
      </c>
      <c r="F6" s="518">
        <v>14813812.790029107</v>
      </c>
      <c r="G6" s="518">
        <v>61726339.798165582</v>
      </c>
      <c r="H6" s="518">
        <v>0</v>
      </c>
      <c r="I6" s="518">
        <v>71684235.094924718</v>
      </c>
      <c r="J6" s="518">
        <v>16219607.356889108</v>
      </c>
      <c r="K6" s="518">
        <v>406023925.56408358</v>
      </c>
    </row>
    <row r="7" spans="1:11">
      <c r="A7" s="515">
        <v>2</v>
      </c>
      <c r="B7" s="515" t="s">
        <v>536</v>
      </c>
      <c r="C7" s="518">
        <v>0</v>
      </c>
      <c r="D7" s="518">
        <v>0</v>
      </c>
      <c r="E7" s="518">
        <v>0</v>
      </c>
      <c r="F7" s="518">
        <v>0</v>
      </c>
      <c r="G7" s="518">
        <v>0</v>
      </c>
      <c r="H7" s="518">
        <v>0</v>
      </c>
      <c r="I7" s="518">
        <v>0</v>
      </c>
      <c r="J7" s="518">
        <v>0</v>
      </c>
      <c r="K7" s="518">
        <v>0</v>
      </c>
    </row>
    <row r="8" spans="1:11">
      <c r="A8" s="515">
        <v>3</v>
      </c>
      <c r="B8" s="515" t="s">
        <v>501</v>
      </c>
      <c r="C8" s="518">
        <v>0</v>
      </c>
      <c r="D8" s="518">
        <v>0</v>
      </c>
      <c r="E8" s="518">
        <v>0</v>
      </c>
      <c r="F8" s="518">
        <v>0</v>
      </c>
      <c r="G8" s="518">
        <v>0</v>
      </c>
      <c r="H8" s="518">
        <v>0</v>
      </c>
      <c r="I8" s="518">
        <v>0</v>
      </c>
      <c r="J8" s="518">
        <v>0</v>
      </c>
      <c r="K8" s="518">
        <v>0</v>
      </c>
    </row>
    <row r="9" spans="1:11">
      <c r="A9" s="515">
        <v>4</v>
      </c>
      <c r="B9" s="516" t="s">
        <v>815</v>
      </c>
      <c r="C9" s="537">
        <v>0</v>
      </c>
      <c r="D9" s="537">
        <v>0</v>
      </c>
      <c r="E9" s="537">
        <v>0</v>
      </c>
      <c r="F9" s="537">
        <v>124951.00907574712</v>
      </c>
      <c r="G9" s="537">
        <v>2089788.1268820337</v>
      </c>
      <c r="H9" s="537">
        <v>0</v>
      </c>
      <c r="I9" s="537">
        <v>1934600.7232991657</v>
      </c>
      <c r="J9" s="537">
        <v>1155663.5123668688</v>
      </c>
      <c r="K9" s="537">
        <v>14701941.267648013</v>
      </c>
    </row>
    <row r="10" spans="1:11">
      <c r="A10" s="515">
        <v>5</v>
      </c>
      <c r="B10" s="516" t="s">
        <v>814</v>
      </c>
      <c r="C10" s="537">
        <v>0</v>
      </c>
      <c r="D10" s="537">
        <v>0</v>
      </c>
      <c r="E10" s="537">
        <v>0</v>
      </c>
      <c r="F10" s="537">
        <v>0</v>
      </c>
      <c r="G10" s="537">
        <v>0</v>
      </c>
      <c r="H10" s="537">
        <v>0</v>
      </c>
      <c r="I10" s="537">
        <v>0</v>
      </c>
      <c r="J10" s="537">
        <v>0</v>
      </c>
      <c r="K10" s="537">
        <v>0</v>
      </c>
    </row>
    <row r="11" spans="1:11">
      <c r="A11" s="515">
        <v>6</v>
      </c>
      <c r="B11" s="516" t="s">
        <v>813</v>
      </c>
      <c r="C11" s="537">
        <v>0</v>
      </c>
      <c r="D11" s="537">
        <v>0</v>
      </c>
      <c r="E11" s="537">
        <v>0</v>
      </c>
      <c r="F11" s="537">
        <v>0</v>
      </c>
      <c r="G11" s="537">
        <v>0</v>
      </c>
      <c r="H11" s="537">
        <v>0</v>
      </c>
      <c r="I11" s="537">
        <v>0</v>
      </c>
      <c r="J11" s="537">
        <v>0</v>
      </c>
      <c r="K11" s="537">
        <v>0</v>
      </c>
    </row>
    <row r="12" spans="1:11">
      <c r="K12" s="543"/>
    </row>
    <row r="13" spans="1:11" ht="13.8">
      <c r="B13" s="544"/>
      <c r="K13" s="71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2"/>
  <sheetViews>
    <sheetView zoomScale="70" zoomScaleNormal="70" workbookViewId="0">
      <pane xSplit="2" ySplit="6" topLeftCell="C7" activePane="bottomRight" state="frozen"/>
      <selection activeCell="C46" sqref="C46"/>
      <selection pane="topRight" activeCell="C46" sqref="C46"/>
      <selection pane="bottomLeft" activeCell="C46" sqref="C46"/>
      <selection pane="bottomRight" activeCell="A3" sqref="A3"/>
    </sheetView>
  </sheetViews>
  <sheetFormatPr defaultRowHeight="13.8"/>
  <cols>
    <col min="1" max="1" width="13.44140625" style="8" bestFit="1" customWidth="1"/>
    <col min="2" max="2" width="69.21875" style="376" customWidth="1"/>
    <col min="3" max="3" width="13.6640625" style="9" customWidth="1"/>
    <col min="4" max="4" width="14.44140625" style="9" customWidth="1"/>
    <col min="5" max="8" width="13.21875" style="9" customWidth="1"/>
    <col min="9" max="9" width="10" style="345" bestFit="1" customWidth="1"/>
    <col min="10" max="10" width="14.5546875" style="345" bestFit="1" customWidth="1"/>
    <col min="11" max="11" width="8.88671875" style="345"/>
    <col min="12" max="12" width="12" style="345" bestFit="1" customWidth="1"/>
    <col min="13" max="13" width="8.88671875" style="345"/>
    <col min="14" max="14" width="12" style="345" bestFit="1" customWidth="1"/>
    <col min="15" max="15" width="11" style="345" bestFit="1" customWidth="1"/>
    <col min="16" max="16" width="4.88671875" style="345" bestFit="1" customWidth="1"/>
    <col min="17" max="17" width="11" style="345" bestFit="1" customWidth="1"/>
    <col min="18" max="18" width="3.88671875" style="345" bestFit="1" customWidth="1"/>
    <col min="19" max="16384" width="8.88671875" style="345"/>
  </cols>
  <sheetData>
    <row r="1" spans="1:8">
      <c r="A1" s="342" t="s">
        <v>869</v>
      </c>
      <c r="B1" s="344" t="str">
        <f>Info!C2</f>
        <v>კრისტალი</v>
      </c>
      <c r="C1" s="341"/>
    </row>
    <row r="2" spans="1:8">
      <c r="A2" s="342" t="s">
        <v>88</v>
      </c>
      <c r="B2" s="343">
        <f>'1. key ratios'!B2</f>
        <v>46022</v>
      </c>
      <c r="C2" s="341"/>
    </row>
    <row r="3" spans="1:8">
      <c r="A3" s="340"/>
      <c r="B3" s="341"/>
      <c r="C3" s="341"/>
    </row>
    <row r="4" spans="1:8" ht="21" customHeight="1">
      <c r="A4" s="792" t="s">
        <v>25</v>
      </c>
      <c r="B4" s="793" t="s">
        <v>651</v>
      </c>
      <c r="C4" s="793" t="s">
        <v>93</v>
      </c>
      <c r="D4" s="793"/>
      <c r="E4" s="793"/>
      <c r="F4" s="793" t="s">
        <v>94</v>
      </c>
      <c r="G4" s="793"/>
      <c r="H4" s="793"/>
    </row>
    <row r="5" spans="1:8" ht="21" customHeight="1">
      <c r="A5" s="792"/>
      <c r="B5" s="793"/>
      <c r="C5" s="361" t="s">
        <v>26</v>
      </c>
      <c r="D5" s="361" t="s">
        <v>70</v>
      </c>
      <c r="E5" s="361" t="s">
        <v>59</v>
      </c>
      <c r="F5" s="361" t="s">
        <v>26</v>
      </c>
      <c r="G5" s="361" t="s">
        <v>70</v>
      </c>
      <c r="H5" s="361" t="s">
        <v>59</v>
      </c>
    </row>
    <row r="6" spans="1:8" ht="26.55" customHeight="1">
      <c r="A6" s="792"/>
      <c r="B6" s="360" t="s">
        <v>76</v>
      </c>
      <c r="C6" s="794"/>
      <c r="D6" s="794"/>
      <c r="E6" s="794"/>
      <c r="F6" s="794"/>
      <c r="G6" s="794"/>
      <c r="H6" s="794"/>
    </row>
    <row r="7" spans="1:8" ht="22.95" customHeight="1">
      <c r="A7" s="378">
        <v>1</v>
      </c>
      <c r="B7" s="379" t="s">
        <v>763</v>
      </c>
      <c r="C7" s="741">
        <v>29661996.639999997</v>
      </c>
      <c r="D7" s="358">
        <v>27839564.464500003</v>
      </c>
      <c r="E7" s="362">
        <v>57501561.104499996</v>
      </c>
      <c r="F7" s="358">
        <v>0</v>
      </c>
      <c r="G7" s="358">
        <v>0</v>
      </c>
      <c r="H7" s="362">
        <v>0</v>
      </c>
    </row>
    <row r="8" spans="1:8">
      <c r="A8" s="359">
        <v>1.1000000000000001</v>
      </c>
      <c r="B8" s="364" t="s">
        <v>77</v>
      </c>
      <c r="C8" s="741">
        <v>12513915.899999997</v>
      </c>
      <c r="D8" s="358">
        <v>17003433.513500001</v>
      </c>
      <c r="E8" s="362">
        <v>29517349.413499996</v>
      </c>
      <c r="F8" s="358"/>
      <c r="G8" s="358"/>
      <c r="H8" s="362">
        <v>0</v>
      </c>
    </row>
    <row r="9" spans="1:8">
      <c r="A9" s="359">
        <v>1.2</v>
      </c>
      <c r="B9" s="364" t="s">
        <v>78</v>
      </c>
      <c r="C9" s="741">
        <v>16374129.880000001</v>
      </c>
      <c r="D9" s="358">
        <v>0</v>
      </c>
      <c r="E9" s="362">
        <v>16374129.880000001</v>
      </c>
      <c r="F9" s="358"/>
      <c r="G9" s="358"/>
      <c r="H9" s="362">
        <v>0</v>
      </c>
    </row>
    <row r="10" spans="1:8">
      <c r="A10" s="359">
        <v>1.3</v>
      </c>
      <c r="B10" s="364" t="s">
        <v>901</v>
      </c>
      <c r="C10" s="741">
        <v>773950.86</v>
      </c>
      <c r="D10" s="358">
        <v>10836130.950999999</v>
      </c>
      <c r="E10" s="362">
        <v>11610081.810999999</v>
      </c>
      <c r="F10" s="358"/>
      <c r="G10" s="358"/>
      <c r="H10" s="362">
        <v>0</v>
      </c>
    </row>
    <row r="11" spans="1:8">
      <c r="A11" s="359">
        <v>2</v>
      </c>
      <c r="B11" s="365" t="s">
        <v>652</v>
      </c>
      <c r="C11" s="741">
        <v>0</v>
      </c>
      <c r="D11" s="358">
        <v>0</v>
      </c>
      <c r="E11" s="362">
        <v>0</v>
      </c>
      <c r="F11" s="358"/>
      <c r="G11" s="358"/>
      <c r="H11" s="362">
        <v>0</v>
      </c>
    </row>
    <row r="12" spans="1:8">
      <c r="A12" s="359">
        <v>2.1</v>
      </c>
      <c r="B12" s="366" t="s">
        <v>653</v>
      </c>
      <c r="C12" s="741">
        <v>0</v>
      </c>
      <c r="D12" s="358">
        <v>0</v>
      </c>
      <c r="E12" s="362">
        <v>0</v>
      </c>
      <c r="F12" s="358"/>
      <c r="G12" s="358"/>
      <c r="H12" s="362">
        <v>0</v>
      </c>
    </row>
    <row r="13" spans="1:8" ht="26.55" customHeight="1">
      <c r="A13" s="359">
        <v>3</v>
      </c>
      <c r="B13" s="367" t="s">
        <v>654</v>
      </c>
      <c r="C13" s="741">
        <v>0</v>
      </c>
      <c r="D13" s="358">
        <v>0</v>
      </c>
      <c r="E13" s="362">
        <v>0</v>
      </c>
      <c r="F13" s="358"/>
      <c r="G13" s="358"/>
      <c r="H13" s="362">
        <v>0</v>
      </c>
    </row>
    <row r="14" spans="1:8" ht="26.55" customHeight="1">
      <c r="A14" s="359">
        <v>4</v>
      </c>
      <c r="B14" s="354" t="s">
        <v>655</v>
      </c>
      <c r="C14" s="741">
        <v>0</v>
      </c>
      <c r="D14" s="358">
        <v>0</v>
      </c>
      <c r="E14" s="362">
        <v>0</v>
      </c>
      <c r="F14" s="358"/>
      <c r="G14" s="358"/>
      <c r="H14" s="362">
        <v>0</v>
      </c>
    </row>
    <row r="15" spans="1:8" ht="24.45" customHeight="1">
      <c r="A15" s="359">
        <v>5</v>
      </c>
      <c r="B15" s="354" t="s">
        <v>656</v>
      </c>
      <c r="C15" s="741">
        <v>0</v>
      </c>
      <c r="D15" s="358">
        <v>0</v>
      </c>
      <c r="E15" s="362">
        <v>0</v>
      </c>
      <c r="F15" s="358">
        <v>0</v>
      </c>
      <c r="G15" s="358">
        <v>0</v>
      </c>
      <c r="H15" s="362">
        <v>0</v>
      </c>
    </row>
    <row r="16" spans="1:8">
      <c r="A16" s="359">
        <v>5.0999999999999996</v>
      </c>
      <c r="B16" s="368" t="s">
        <v>657</v>
      </c>
      <c r="C16" s="741">
        <v>0</v>
      </c>
      <c r="D16" s="358">
        <v>0</v>
      </c>
      <c r="E16" s="362">
        <v>0</v>
      </c>
      <c r="F16" s="358"/>
      <c r="G16" s="358"/>
      <c r="H16" s="362">
        <v>0</v>
      </c>
    </row>
    <row r="17" spans="1:8">
      <c r="A17" s="359">
        <v>5.2</v>
      </c>
      <c r="B17" s="368" t="s">
        <v>500</v>
      </c>
      <c r="C17" s="741">
        <v>0</v>
      </c>
      <c r="D17" s="358">
        <v>0</v>
      </c>
      <c r="E17" s="362">
        <v>0</v>
      </c>
      <c r="F17" s="358"/>
      <c r="G17" s="358"/>
      <c r="H17" s="362">
        <v>0</v>
      </c>
    </row>
    <row r="18" spans="1:8">
      <c r="A18" s="359">
        <v>5.3</v>
      </c>
      <c r="B18" s="368" t="s">
        <v>658</v>
      </c>
      <c r="C18" s="741">
        <v>0</v>
      </c>
      <c r="D18" s="358">
        <v>0</v>
      </c>
      <c r="E18" s="362">
        <v>0</v>
      </c>
      <c r="F18" s="358"/>
      <c r="G18" s="358"/>
      <c r="H18" s="362">
        <v>0</v>
      </c>
    </row>
    <row r="19" spans="1:8">
      <c r="A19" s="359">
        <v>6</v>
      </c>
      <c r="B19" s="367" t="s">
        <v>659</v>
      </c>
      <c r="C19" s="741">
        <v>568036433.5451411</v>
      </c>
      <c r="D19" s="358">
        <v>21358.344100000002</v>
      </c>
      <c r="E19" s="362">
        <v>568057791.8892411</v>
      </c>
      <c r="F19" s="358">
        <v>0</v>
      </c>
      <c r="G19" s="358">
        <v>0</v>
      </c>
      <c r="H19" s="362">
        <v>0</v>
      </c>
    </row>
    <row r="20" spans="1:8">
      <c r="A20" s="359">
        <v>6.1</v>
      </c>
      <c r="B20" s="368" t="s">
        <v>500</v>
      </c>
      <c r="C20" s="741">
        <v>0</v>
      </c>
      <c r="D20" s="358">
        <v>0</v>
      </c>
      <c r="E20" s="362">
        <v>0</v>
      </c>
      <c r="F20" s="358"/>
      <c r="G20" s="358"/>
      <c r="H20" s="362">
        <v>0</v>
      </c>
    </row>
    <row r="21" spans="1:8">
      <c r="A21" s="359">
        <v>6.2</v>
      </c>
      <c r="B21" s="368" t="s">
        <v>658</v>
      </c>
      <c r="C21" s="741">
        <v>568036433.5451411</v>
      </c>
      <c r="D21" s="358">
        <v>21358.344100000002</v>
      </c>
      <c r="E21" s="362">
        <v>568057791.8892411</v>
      </c>
      <c r="F21" s="358"/>
      <c r="G21" s="358"/>
      <c r="H21" s="362">
        <v>0</v>
      </c>
    </row>
    <row r="22" spans="1:8">
      <c r="A22" s="359">
        <v>7</v>
      </c>
      <c r="B22" s="369" t="s">
        <v>660</v>
      </c>
      <c r="C22" s="358">
        <v>609791</v>
      </c>
      <c r="D22" s="358">
        <v>0</v>
      </c>
      <c r="E22" s="362">
        <v>609791</v>
      </c>
      <c r="F22" s="358"/>
      <c r="G22" s="358"/>
      <c r="H22" s="362">
        <v>0</v>
      </c>
    </row>
    <row r="23" spans="1:8" ht="27.6">
      <c r="A23" s="359">
        <v>8</v>
      </c>
      <c r="B23" s="369" t="s">
        <v>661</v>
      </c>
      <c r="C23" s="741">
        <v>0</v>
      </c>
      <c r="D23" s="358">
        <v>0</v>
      </c>
      <c r="E23" s="362">
        <v>0</v>
      </c>
      <c r="F23" s="358"/>
      <c r="G23" s="358"/>
      <c r="H23" s="362">
        <v>0</v>
      </c>
    </row>
    <row r="24" spans="1:8">
      <c r="A24" s="359">
        <v>9</v>
      </c>
      <c r="B24" s="354" t="s">
        <v>662</v>
      </c>
      <c r="C24" s="741">
        <v>22672753.342881359</v>
      </c>
      <c r="D24" s="358">
        <v>0</v>
      </c>
      <c r="E24" s="362">
        <v>22672753.342881359</v>
      </c>
      <c r="F24" s="358">
        <v>0</v>
      </c>
      <c r="G24" s="358">
        <v>0</v>
      </c>
      <c r="H24" s="362">
        <v>0</v>
      </c>
    </row>
    <row r="25" spans="1:8">
      <c r="A25" s="359">
        <v>9.1</v>
      </c>
      <c r="B25" s="352" t="s">
        <v>663</v>
      </c>
      <c r="C25" s="741">
        <v>22672753.342881359</v>
      </c>
      <c r="D25" s="358">
        <v>0</v>
      </c>
      <c r="E25" s="362">
        <v>22672753.342881359</v>
      </c>
      <c r="F25" s="358"/>
      <c r="G25" s="358"/>
      <c r="H25" s="362">
        <v>0</v>
      </c>
    </row>
    <row r="26" spans="1:8">
      <c r="A26" s="359">
        <v>9.1999999999999993</v>
      </c>
      <c r="B26" s="352" t="s">
        <v>664</v>
      </c>
      <c r="C26" s="741">
        <v>0</v>
      </c>
      <c r="D26" s="358">
        <v>0</v>
      </c>
      <c r="E26" s="362">
        <v>0</v>
      </c>
      <c r="F26" s="358"/>
      <c r="G26" s="358"/>
      <c r="H26" s="362">
        <v>0</v>
      </c>
    </row>
    <row r="27" spans="1:8">
      <c r="A27" s="359">
        <v>10</v>
      </c>
      <c r="B27" s="354" t="s">
        <v>36</v>
      </c>
      <c r="C27" s="741">
        <v>7511205.5999999996</v>
      </c>
      <c r="D27" s="358">
        <v>0</v>
      </c>
      <c r="E27" s="362">
        <v>7511205.5999999996</v>
      </c>
      <c r="F27" s="358">
        <v>0</v>
      </c>
      <c r="G27" s="358">
        <v>0</v>
      </c>
      <c r="H27" s="362">
        <v>0</v>
      </c>
    </row>
    <row r="28" spans="1:8">
      <c r="A28" s="359">
        <v>10.1</v>
      </c>
      <c r="B28" s="352" t="s">
        <v>665</v>
      </c>
      <c r="C28" s="741">
        <v>0</v>
      </c>
      <c r="D28" s="358">
        <v>0</v>
      </c>
      <c r="E28" s="362">
        <v>0</v>
      </c>
      <c r="F28" s="358"/>
      <c r="G28" s="358"/>
      <c r="H28" s="362">
        <v>0</v>
      </c>
    </row>
    <row r="29" spans="1:8">
      <c r="A29" s="359">
        <v>10.199999999999999</v>
      </c>
      <c r="B29" s="352" t="s">
        <v>666</v>
      </c>
      <c r="C29" s="741">
        <v>7511205.5999999996</v>
      </c>
      <c r="D29" s="358">
        <v>0</v>
      </c>
      <c r="E29" s="362">
        <v>7511205.5999999996</v>
      </c>
      <c r="F29" s="358"/>
      <c r="G29" s="358"/>
      <c r="H29" s="362">
        <v>0</v>
      </c>
    </row>
    <row r="30" spans="1:8">
      <c r="A30" s="359">
        <v>11</v>
      </c>
      <c r="B30" s="354" t="s">
        <v>667</v>
      </c>
      <c r="C30" s="741">
        <v>4221870.0096963299</v>
      </c>
      <c r="D30" s="358">
        <v>0</v>
      </c>
      <c r="E30" s="362">
        <v>4221870.0096963299</v>
      </c>
      <c r="F30" s="358">
        <v>0</v>
      </c>
      <c r="G30" s="358">
        <v>0</v>
      </c>
      <c r="H30" s="362">
        <v>0</v>
      </c>
    </row>
    <row r="31" spans="1:8">
      <c r="A31" s="359">
        <v>11.1</v>
      </c>
      <c r="B31" s="352" t="s">
        <v>668</v>
      </c>
      <c r="C31" s="741">
        <v>3827004.4712196682</v>
      </c>
      <c r="D31" s="358">
        <v>0</v>
      </c>
      <c r="E31" s="362">
        <v>3827004.4712196682</v>
      </c>
      <c r="F31" s="358"/>
      <c r="G31" s="358"/>
      <c r="H31" s="362">
        <v>0</v>
      </c>
    </row>
    <row r="32" spans="1:8">
      <c r="A32" s="359">
        <v>11.2</v>
      </c>
      <c r="B32" s="352" t="s">
        <v>669</v>
      </c>
      <c r="C32" s="741">
        <v>394865.53847666149</v>
      </c>
      <c r="D32" s="358">
        <v>0</v>
      </c>
      <c r="E32" s="362">
        <v>394865.53847666149</v>
      </c>
      <c r="F32" s="358"/>
      <c r="G32" s="358"/>
      <c r="H32" s="362">
        <v>0</v>
      </c>
    </row>
    <row r="33" spans="1:8">
      <c r="A33" s="359">
        <v>13</v>
      </c>
      <c r="B33" s="354" t="s">
        <v>79</v>
      </c>
      <c r="C33" s="741">
        <v>9183980.7270185612</v>
      </c>
      <c r="D33" s="358">
        <v>730906.82759999996</v>
      </c>
      <c r="E33" s="362">
        <v>9914887.5546185616</v>
      </c>
      <c r="F33" s="358"/>
      <c r="G33" s="358"/>
      <c r="H33" s="362">
        <v>0</v>
      </c>
    </row>
    <row r="34" spans="1:8">
      <c r="A34" s="359">
        <v>13.1</v>
      </c>
      <c r="B34" s="370" t="s">
        <v>670</v>
      </c>
      <c r="C34" s="358">
        <v>3206755.12</v>
      </c>
      <c r="D34" s="358">
        <v>0</v>
      </c>
      <c r="E34" s="362">
        <v>3206755.12</v>
      </c>
      <c r="F34" s="358"/>
      <c r="G34" s="358"/>
      <c r="H34" s="362">
        <v>0</v>
      </c>
    </row>
    <row r="35" spans="1:8">
      <c r="A35" s="359">
        <v>13.2</v>
      </c>
      <c r="B35" s="370" t="s">
        <v>671</v>
      </c>
      <c r="C35" s="358">
        <v>0</v>
      </c>
      <c r="D35" s="358">
        <v>0</v>
      </c>
      <c r="E35" s="362">
        <v>0</v>
      </c>
      <c r="F35" s="358"/>
      <c r="G35" s="358"/>
      <c r="H35" s="362">
        <v>0</v>
      </c>
    </row>
    <row r="36" spans="1:8">
      <c r="A36" s="359">
        <v>14</v>
      </c>
      <c r="B36" s="371" t="s">
        <v>672</v>
      </c>
      <c r="C36" s="358">
        <v>641898030.86473739</v>
      </c>
      <c r="D36" s="358">
        <v>28591829.6362</v>
      </c>
      <c r="E36" s="362">
        <v>670489860.50093734</v>
      </c>
      <c r="F36" s="358">
        <v>0</v>
      </c>
      <c r="G36" s="358">
        <v>0</v>
      </c>
      <c r="H36" s="362">
        <v>0</v>
      </c>
    </row>
    <row r="37" spans="1:8" ht="22.5" customHeight="1">
      <c r="A37" s="64"/>
      <c r="B37" s="372" t="s">
        <v>84</v>
      </c>
      <c r="C37" s="786"/>
      <c r="D37" s="787"/>
      <c r="E37" s="787"/>
      <c r="F37" s="787"/>
      <c r="G37" s="787"/>
      <c r="H37" s="788"/>
    </row>
    <row r="38" spans="1:8">
      <c r="A38" s="64">
        <v>15</v>
      </c>
      <c r="B38" s="369" t="s">
        <v>673</v>
      </c>
      <c r="C38" s="347">
        <v>0</v>
      </c>
      <c r="D38" s="347">
        <v>0</v>
      </c>
      <c r="E38" s="348">
        <v>0</v>
      </c>
      <c r="F38" s="347"/>
      <c r="G38" s="347"/>
      <c r="H38" s="348">
        <v>0</v>
      </c>
    </row>
    <row r="39" spans="1:8">
      <c r="A39" s="64">
        <v>15.1</v>
      </c>
      <c r="B39" s="366" t="s">
        <v>653</v>
      </c>
      <c r="C39" s="347">
        <v>0</v>
      </c>
      <c r="D39" s="347">
        <v>0</v>
      </c>
      <c r="E39" s="348">
        <v>0</v>
      </c>
      <c r="F39" s="347"/>
      <c r="G39" s="347"/>
      <c r="H39" s="348">
        <v>0</v>
      </c>
    </row>
    <row r="40" spans="1:8" ht="24" customHeight="1">
      <c r="A40" s="64">
        <v>16</v>
      </c>
      <c r="B40" s="369" t="s">
        <v>674</v>
      </c>
      <c r="C40" s="709">
        <v>12802164.969999999</v>
      </c>
      <c r="D40" s="347">
        <v>0</v>
      </c>
      <c r="E40" s="348">
        <v>12802164.969999999</v>
      </c>
      <c r="F40" s="347"/>
      <c r="G40" s="347"/>
      <c r="H40" s="348">
        <v>0</v>
      </c>
    </row>
    <row r="41" spans="1:8" ht="27.6">
      <c r="A41" s="64">
        <v>17</v>
      </c>
      <c r="B41" s="369" t="s">
        <v>675</v>
      </c>
      <c r="C41" s="709">
        <v>237730567.95329878</v>
      </c>
      <c r="D41" s="347">
        <v>256145913.91559988</v>
      </c>
      <c r="E41" s="348">
        <v>493876481.86889863</v>
      </c>
      <c r="F41" s="347">
        <v>0</v>
      </c>
      <c r="G41" s="347">
        <v>0</v>
      </c>
      <c r="H41" s="348">
        <v>0</v>
      </c>
    </row>
    <row r="42" spans="1:8">
      <c r="A42" s="64">
        <v>17.100000000000001</v>
      </c>
      <c r="B42" s="373" t="s">
        <v>676</v>
      </c>
      <c r="C42" s="709">
        <v>22130629.123298761</v>
      </c>
      <c r="D42" s="347">
        <v>10966303.183399949</v>
      </c>
      <c r="E42" s="348">
        <v>33096932.30669871</v>
      </c>
      <c r="F42" s="347"/>
      <c r="G42" s="347"/>
      <c r="H42" s="348">
        <v>0</v>
      </c>
    </row>
    <row r="43" spans="1:8">
      <c r="A43" s="64">
        <v>17.2</v>
      </c>
      <c r="B43" s="364" t="s">
        <v>80</v>
      </c>
      <c r="C43" s="709">
        <v>168019441.58000001</v>
      </c>
      <c r="D43" s="347">
        <v>226759661.28799993</v>
      </c>
      <c r="E43" s="348">
        <v>394779102.86799991</v>
      </c>
      <c r="F43" s="347"/>
      <c r="G43" s="347"/>
      <c r="H43" s="348">
        <v>0</v>
      </c>
    </row>
    <row r="44" spans="1:8">
      <c r="A44" s="64">
        <v>17.3</v>
      </c>
      <c r="B44" s="373" t="s">
        <v>677</v>
      </c>
      <c r="C44" s="709">
        <v>41376158.159999982</v>
      </c>
      <c r="D44" s="347">
        <v>18326900.288399987</v>
      </c>
      <c r="E44" s="348">
        <v>59703058.448399968</v>
      </c>
      <c r="F44" s="347"/>
      <c r="G44" s="347"/>
      <c r="H44" s="348">
        <v>0</v>
      </c>
    </row>
    <row r="45" spans="1:8">
      <c r="A45" s="64">
        <v>17.399999999999999</v>
      </c>
      <c r="B45" s="373" t="s">
        <v>678</v>
      </c>
      <c r="C45" s="709">
        <v>6204339.0899999961</v>
      </c>
      <c r="D45" s="347">
        <v>93049.155800000022</v>
      </c>
      <c r="E45" s="348">
        <v>6297388.245799996</v>
      </c>
      <c r="F45" s="347"/>
      <c r="G45" s="347"/>
      <c r="H45" s="348">
        <v>0</v>
      </c>
    </row>
    <row r="46" spans="1:8">
      <c r="A46" s="64">
        <v>18</v>
      </c>
      <c r="B46" s="354" t="s">
        <v>679</v>
      </c>
      <c r="C46" s="709">
        <v>510815.64</v>
      </c>
      <c r="D46" s="347">
        <v>0</v>
      </c>
      <c r="E46" s="348">
        <v>510815.64</v>
      </c>
      <c r="F46" s="347"/>
      <c r="G46" s="347"/>
      <c r="H46" s="348">
        <v>0</v>
      </c>
    </row>
    <row r="47" spans="1:8">
      <c r="A47" s="64">
        <v>19</v>
      </c>
      <c r="B47" s="354" t="s">
        <v>680</v>
      </c>
      <c r="C47" s="709">
        <v>0</v>
      </c>
      <c r="D47" s="347">
        <v>0</v>
      </c>
      <c r="E47" s="348">
        <v>0</v>
      </c>
      <c r="F47" s="347">
        <v>0</v>
      </c>
      <c r="G47" s="347">
        <v>0</v>
      </c>
      <c r="H47" s="348">
        <v>0</v>
      </c>
    </row>
    <row r="48" spans="1:8">
      <c r="A48" s="64">
        <v>19.100000000000001</v>
      </c>
      <c r="B48" s="349" t="s">
        <v>681</v>
      </c>
      <c r="C48" s="709">
        <v>0</v>
      </c>
      <c r="D48" s="347">
        <v>0</v>
      </c>
      <c r="E48" s="348">
        <v>0</v>
      </c>
      <c r="F48" s="347"/>
      <c r="G48" s="347"/>
      <c r="H48" s="348">
        <v>0</v>
      </c>
    </row>
    <row r="49" spans="1:8">
      <c r="A49" s="64">
        <v>19.2</v>
      </c>
      <c r="B49" s="349" t="s">
        <v>682</v>
      </c>
      <c r="C49" s="709">
        <v>0</v>
      </c>
      <c r="D49" s="347">
        <v>0</v>
      </c>
      <c r="E49" s="348">
        <v>0</v>
      </c>
      <c r="F49" s="347"/>
      <c r="G49" s="347"/>
      <c r="H49" s="348">
        <v>0</v>
      </c>
    </row>
    <row r="50" spans="1:8">
      <c r="A50" s="64">
        <v>20</v>
      </c>
      <c r="B50" s="371" t="s">
        <v>81</v>
      </c>
      <c r="C50" s="347">
        <v>0</v>
      </c>
      <c r="D50" s="347">
        <v>40802676.2892</v>
      </c>
      <c r="E50" s="348">
        <v>40802676.2892</v>
      </c>
      <c r="F50" s="347"/>
      <c r="G50" s="347"/>
      <c r="H50" s="348">
        <v>0</v>
      </c>
    </row>
    <row r="51" spans="1:8">
      <c r="A51" s="64">
        <v>21</v>
      </c>
      <c r="B51" s="365" t="s">
        <v>71</v>
      </c>
      <c r="C51" s="347">
        <v>1791563.3536390048</v>
      </c>
      <c r="D51" s="347">
        <v>14033763.884499993</v>
      </c>
      <c r="E51" s="348">
        <v>15825327.238138998</v>
      </c>
      <c r="F51" s="347"/>
      <c r="G51" s="347"/>
      <c r="H51" s="348">
        <v>0</v>
      </c>
    </row>
    <row r="52" spans="1:8">
      <c r="A52" s="64">
        <v>21.1</v>
      </c>
      <c r="B52" s="364" t="s">
        <v>683</v>
      </c>
      <c r="C52" s="347">
        <v>0</v>
      </c>
      <c r="D52" s="347">
        <v>64450.432699999998</v>
      </c>
      <c r="E52" s="348">
        <v>64450.432699999998</v>
      </c>
      <c r="F52" s="347"/>
      <c r="G52" s="347"/>
      <c r="H52" s="348">
        <v>0</v>
      </c>
    </row>
    <row r="53" spans="1:8">
      <c r="A53" s="64">
        <v>22</v>
      </c>
      <c r="B53" s="371" t="s">
        <v>684</v>
      </c>
      <c r="C53" s="347">
        <v>252835111.91693777</v>
      </c>
      <c r="D53" s="347">
        <v>310982354.08929986</v>
      </c>
      <c r="E53" s="348">
        <v>563817466.00623763</v>
      </c>
      <c r="F53" s="347">
        <v>0</v>
      </c>
      <c r="G53" s="347">
        <v>0</v>
      </c>
      <c r="H53" s="348">
        <v>0</v>
      </c>
    </row>
    <row r="54" spans="1:8" ht="24" customHeight="1">
      <c r="A54" s="64"/>
      <c r="B54" s="374" t="s">
        <v>685</v>
      </c>
      <c r="C54" s="789"/>
      <c r="D54" s="790"/>
      <c r="E54" s="790"/>
      <c r="F54" s="790"/>
      <c r="G54" s="790"/>
      <c r="H54" s="791"/>
    </row>
    <row r="55" spans="1:8">
      <c r="A55" s="64">
        <v>23</v>
      </c>
      <c r="B55" s="371" t="s">
        <v>860</v>
      </c>
      <c r="C55" s="347">
        <v>3634576</v>
      </c>
      <c r="D55" s="347">
        <v>0</v>
      </c>
      <c r="E55" s="348">
        <v>3634576</v>
      </c>
      <c r="F55" s="347"/>
      <c r="G55" s="347"/>
      <c r="H55" s="348">
        <v>0</v>
      </c>
    </row>
    <row r="56" spans="1:8">
      <c r="A56" s="64">
        <v>24</v>
      </c>
      <c r="B56" s="371" t="s">
        <v>686</v>
      </c>
      <c r="C56" s="347">
        <v>0</v>
      </c>
      <c r="D56" s="347">
        <v>0</v>
      </c>
      <c r="E56" s="348">
        <v>0</v>
      </c>
      <c r="F56" s="347"/>
      <c r="G56" s="347"/>
      <c r="H56" s="348">
        <v>0</v>
      </c>
    </row>
    <row r="57" spans="1:8">
      <c r="A57" s="64">
        <v>25</v>
      </c>
      <c r="B57" s="371" t="s">
        <v>82</v>
      </c>
      <c r="C57" s="347">
        <v>22109970.23</v>
      </c>
      <c r="D57" s="347">
        <v>0</v>
      </c>
      <c r="E57" s="348">
        <v>22109970.23</v>
      </c>
      <c r="F57" s="347"/>
      <c r="G57" s="347"/>
      <c r="H57" s="348">
        <v>0</v>
      </c>
    </row>
    <row r="58" spans="1:8">
      <c r="A58" s="64">
        <v>26</v>
      </c>
      <c r="B58" s="354" t="s">
        <v>687</v>
      </c>
      <c r="C58" s="347">
        <v>0</v>
      </c>
      <c r="D58" s="347">
        <v>0</v>
      </c>
      <c r="E58" s="348">
        <v>0</v>
      </c>
      <c r="F58" s="347"/>
      <c r="G58" s="347"/>
      <c r="H58" s="348">
        <v>0</v>
      </c>
    </row>
    <row r="59" spans="1:8" ht="27.6">
      <c r="A59" s="64">
        <v>27</v>
      </c>
      <c r="B59" s="354" t="s">
        <v>688</v>
      </c>
      <c r="C59" s="347">
        <v>0</v>
      </c>
      <c r="D59" s="347">
        <v>0</v>
      </c>
      <c r="E59" s="348">
        <v>0</v>
      </c>
      <c r="F59" s="347"/>
      <c r="G59" s="347"/>
      <c r="H59" s="348">
        <v>0</v>
      </c>
    </row>
    <row r="60" spans="1:8">
      <c r="A60" s="64">
        <v>27.1</v>
      </c>
      <c r="B60" s="349" t="s">
        <v>689</v>
      </c>
      <c r="C60" s="347">
        <v>0</v>
      </c>
      <c r="D60" s="347">
        <v>0</v>
      </c>
      <c r="E60" s="348">
        <v>0</v>
      </c>
      <c r="F60" s="347"/>
      <c r="G60" s="347"/>
      <c r="H60" s="348">
        <v>0</v>
      </c>
    </row>
    <row r="61" spans="1:8">
      <c r="A61" s="64">
        <v>27.2</v>
      </c>
      <c r="B61" s="373" t="s">
        <v>690</v>
      </c>
      <c r="C61" s="347">
        <v>0</v>
      </c>
      <c r="D61" s="347">
        <v>0</v>
      </c>
      <c r="E61" s="348">
        <v>0</v>
      </c>
      <c r="F61" s="347"/>
      <c r="G61" s="347"/>
      <c r="H61" s="348">
        <v>0</v>
      </c>
    </row>
    <row r="62" spans="1:8">
      <c r="A62" s="64">
        <v>28</v>
      </c>
      <c r="B62" s="365" t="s">
        <v>691</v>
      </c>
      <c r="C62" s="347">
        <v>0</v>
      </c>
      <c r="D62" s="347">
        <v>0</v>
      </c>
      <c r="E62" s="348">
        <v>0</v>
      </c>
      <c r="F62" s="347"/>
      <c r="G62" s="347"/>
      <c r="H62" s="348">
        <v>0</v>
      </c>
    </row>
    <row r="63" spans="1:8">
      <c r="A63" s="64">
        <v>29</v>
      </c>
      <c r="B63" s="354" t="s">
        <v>692</v>
      </c>
      <c r="C63" s="347">
        <v>0</v>
      </c>
      <c r="D63" s="347">
        <v>0</v>
      </c>
      <c r="E63" s="348">
        <v>0</v>
      </c>
      <c r="F63" s="347"/>
      <c r="G63" s="347"/>
      <c r="H63" s="348">
        <v>0</v>
      </c>
    </row>
    <row r="64" spans="1:8">
      <c r="A64" s="64">
        <v>29.1</v>
      </c>
      <c r="B64" s="368" t="s">
        <v>693</v>
      </c>
      <c r="C64" s="347">
        <v>0</v>
      </c>
      <c r="D64" s="347">
        <v>0</v>
      </c>
      <c r="E64" s="348">
        <v>0</v>
      </c>
      <c r="F64" s="347"/>
      <c r="G64" s="347"/>
      <c r="H64" s="348">
        <v>0</v>
      </c>
    </row>
    <row r="65" spans="1:8" ht="25.05" customHeight="1">
      <c r="A65" s="64">
        <v>29.2</v>
      </c>
      <c r="B65" s="349" t="s">
        <v>694</v>
      </c>
      <c r="C65" s="347">
        <v>0</v>
      </c>
      <c r="D65" s="347">
        <v>0</v>
      </c>
      <c r="E65" s="348">
        <v>0</v>
      </c>
      <c r="F65" s="347"/>
      <c r="G65" s="347"/>
      <c r="H65" s="348">
        <v>0</v>
      </c>
    </row>
    <row r="66" spans="1:8" ht="22.5" customHeight="1">
      <c r="A66" s="64">
        <v>29.3</v>
      </c>
      <c r="B66" s="352" t="s">
        <v>695</v>
      </c>
      <c r="C66" s="709">
        <v>0</v>
      </c>
      <c r="D66" s="347">
        <v>0</v>
      </c>
      <c r="E66" s="348">
        <v>0</v>
      </c>
      <c r="F66" s="347"/>
      <c r="G66" s="347"/>
      <c r="H66" s="348">
        <v>0</v>
      </c>
    </row>
    <row r="67" spans="1:8">
      <c r="A67" s="64">
        <v>30</v>
      </c>
      <c r="B67" s="354" t="s">
        <v>83</v>
      </c>
      <c r="C67" s="709">
        <v>80927848.264086574</v>
      </c>
      <c r="D67" s="347">
        <v>0</v>
      </c>
      <c r="E67" s="348">
        <v>80927848.264086574</v>
      </c>
      <c r="F67" s="347"/>
      <c r="G67" s="347"/>
      <c r="H67" s="348">
        <v>0</v>
      </c>
    </row>
    <row r="68" spans="1:8">
      <c r="A68" s="64">
        <v>31</v>
      </c>
      <c r="B68" s="375" t="s">
        <v>1000</v>
      </c>
      <c r="C68" s="709">
        <v>106672394.49408658</v>
      </c>
      <c r="D68" s="347">
        <v>0</v>
      </c>
      <c r="E68" s="348">
        <v>106672394.49408658</v>
      </c>
      <c r="F68" s="347">
        <v>0</v>
      </c>
      <c r="G68" s="347">
        <v>0</v>
      </c>
      <c r="H68" s="348">
        <v>0</v>
      </c>
    </row>
    <row r="69" spans="1:8">
      <c r="A69" s="64">
        <v>32</v>
      </c>
      <c r="B69" s="354" t="s">
        <v>697</v>
      </c>
      <c r="C69" s="709">
        <v>359507506.41102433</v>
      </c>
      <c r="D69" s="347">
        <v>310982354.08929986</v>
      </c>
      <c r="E69" s="348">
        <v>670489860.50032425</v>
      </c>
      <c r="F69" s="347">
        <v>0</v>
      </c>
      <c r="G69" s="347">
        <v>0</v>
      </c>
      <c r="H69" s="348">
        <v>0</v>
      </c>
    </row>
    <row r="72" spans="1:8">
      <c r="B72" s="743" t="s">
        <v>1001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32"/>
  <sheetViews>
    <sheetView showGridLines="0" zoomScale="80" zoomScaleNormal="80" workbookViewId="0">
      <pane xSplit="2" ySplit="6" topLeftCell="C7" activePane="bottomRight" state="frozen"/>
      <selection activeCell="B21" sqref="B21:C21"/>
      <selection pane="topRight" activeCell="B21" sqref="B21:C21"/>
      <selection pane="bottomLeft" activeCell="B21" sqref="B21:C21"/>
      <selection pane="bottomRight" activeCell="B24" sqref="B24"/>
    </sheetView>
  </sheetViews>
  <sheetFormatPr defaultColWidth="8.77734375" defaultRowHeight="14.4"/>
  <cols>
    <col min="1" max="1" width="12.88671875" style="534" bestFit="1" customWidth="1"/>
    <col min="2" max="2" width="71" style="534" bestFit="1" customWidth="1"/>
    <col min="3" max="3" width="15.109375" style="534" bestFit="1" customWidth="1"/>
    <col min="4" max="5" width="15.21875" style="534" bestFit="1" customWidth="1"/>
    <col min="6" max="6" width="20" style="534" bestFit="1" customWidth="1"/>
    <col min="7" max="7" width="37.6640625" style="534" bestFit="1" customWidth="1"/>
    <col min="8" max="8" width="16" style="534" customWidth="1"/>
    <col min="9" max="10" width="15.21875" style="534" bestFit="1" customWidth="1"/>
    <col min="11" max="11" width="20" style="534" bestFit="1" customWidth="1"/>
    <col min="12" max="12" width="37.6640625" style="534" bestFit="1" customWidth="1"/>
    <col min="13" max="13" width="13.5546875" style="534" customWidth="1"/>
    <col min="14" max="15" width="15.21875" style="534" bestFit="1" customWidth="1"/>
    <col min="16" max="16" width="20" style="534" bestFit="1" customWidth="1"/>
    <col min="17" max="17" width="37.6640625" style="534" bestFit="1" customWidth="1"/>
    <col min="18" max="18" width="18" style="534" bestFit="1" customWidth="1"/>
    <col min="19" max="19" width="48" style="534" bestFit="1" customWidth="1"/>
    <col min="20" max="20" width="45.77734375" style="534" bestFit="1" customWidth="1"/>
    <col min="21" max="21" width="48" style="534" bestFit="1" customWidth="1"/>
    <col min="22" max="22" width="44.33203125" style="534" bestFit="1" customWidth="1"/>
    <col min="23" max="16384" width="8.77734375" style="534"/>
  </cols>
  <sheetData>
    <row r="1" spans="1:22">
      <c r="A1" s="342" t="s">
        <v>869</v>
      </c>
      <c r="B1" s="344" t="str">
        <f>Info!C2</f>
        <v>კრისტალი</v>
      </c>
    </row>
    <row r="2" spans="1:22">
      <c r="A2" s="342" t="s">
        <v>88</v>
      </c>
      <c r="B2" s="343">
        <f>'1. key ratios'!B2</f>
        <v>46022</v>
      </c>
    </row>
    <row r="3" spans="1:22">
      <c r="A3" s="510" t="s">
        <v>612</v>
      </c>
      <c r="B3" s="509"/>
    </row>
    <row r="4" spans="1:22">
      <c r="A4" s="510"/>
      <c r="B4" s="509"/>
    </row>
    <row r="5" spans="1:22" ht="24" customHeight="1">
      <c r="A5" s="900" t="s">
        <v>638</v>
      </c>
      <c r="B5" s="900"/>
      <c r="C5" s="902" t="s">
        <v>819</v>
      </c>
      <c r="D5" s="902"/>
      <c r="E5" s="902"/>
      <c r="F5" s="902"/>
      <c r="G5" s="902"/>
      <c r="H5" s="902" t="s">
        <v>526</v>
      </c>
      <c r="I5" s="902"/>
      <c r="J5" s="902"/>
      <c r="K5" s="902"/>
      <c r="L5" s="902"/>
      <c r="M5" s="902" t="s">
        <v>818</v>
      </c>
      <c r="N5" s="902"/>
      <c r="O5" s="902"/>
      <c r="P5" s="902"/>
      <c r="Q5" s="902"/>
      <c r="R5" s="901" t="s">
        <v>637</v>
      </c>
      <c r="S5" s="901" t="s">
        <v>641</v>
      </c>
      <c r="T5" s="901" t="s">
        <v>640</v>
      </c>
      <c r="U5" s="901" t="s">
        <v>856</v>
      </c>
      <c r="V5" s="901" t="s">
        <v>857</v>
      </c>
    </row>
    <row r="6" spans="1:22" ht="36" customHeight="1">
      <c r="A6" s="900"/>
      <c r="B6" s="900"/>
      <c r="C6" s="535"/>
      <c r="D6" s="68" t="s">
        <v>803</v>
      </c>
      <c r="E6" s="68" t="s">
        <v>802</v>
      </c>
      <c r="F6" s="68" t="s">
        <v>801</v>
      </c>
      <c r="G6" s="68" t="s">
        <v>800</v>
      </c>
      <c r="H6" s="535"/>
      <c r="I6" s="68" t="s">
        <v>803</v>
      </c>
      <c r="J6" s="68" t="s">
        <v>802</v>
      </c>
      <c r="K6" s="68" t="s">
        <v>801</v>
      </c>
      <c r="L6" s="68" t="s">
        <v>800</v>
      </c>
      <c r="M6" s="535"/>
      <c r="N6" s="68" t="s">
        <v>803</v>
      </c>
      <c r="O6" s="68" t="s">
        <v>802</v>
      </c>
      <c r="P6" s="68" t="s">
        <v>801</v>
      </c>
      <c r="Q6" s="68" t="s">
        <v>800</v>
      </c>
      <c r="R6" s="901"/>
      <c r="S6" s="901"/>
      <c r="T6" s="901"/>
      <c r="U6" s="901"/>
      <c r="V6" s="901"/>
    </row>
    <row r="7" spans="1:22">
      <c r="A7" s="536">
        <v>1</v>
      </c>
      <c r="B7" s="95" t="s">
        <v>613</v>
      </c>
      <c r="C7" s="537">
        <v>50733858.600000039</v>
      </c>
      <c r="D7" s="537">
        <v>47111567.010000035</v>
      </c>
      <c r="E7" s="537">
        <v>2580060.5999999996</v>
      </c>
      <c r="F7" s="537">
        <v>1042230.9899999999</v>
      </c>
      <c r="G7" s="537">
        <v>0</v>
      </c>
      <c r="H7" s="537">
        <v>51022399.188675776</v>
      </c>
      <c r="I7" s="537">
        <v>47156261.481534064</v>
      </c>
      <c r="J7" s="537">
        <v>2654214.7670916249</v>
      </c>
      <c r="K7" s="537">
        <v>1211922.940050089</v>
      </c>
      <c r="L7" s="537">
        <v>0</v>
      </c>
      <c r="M7" s="537">
        <v>367228.7</v>
      </c>
      <c r="N7" s="537">
        <v>79852.48000000004</v>
      </c>
      <c r="O7" s="537">
        <v>24486.229999999996</v>
      </c>
      <c r="P7" s="537">
        <v>262889.99</v>
      </c>
      <c r="Q7" s="537">
        <v>0</v>
      </c>
      <c r="R7" s="537">
        <v>4358</v>
      </c>
      <c r="S7" s="764">
        <v>0.28411170832065469</v>
      </c>
      <c r="T7" s="764">
        <v>0.37957422970881771</v>
      </c>
      <c r="U7" s="764">
        <v>0.29042386034021478</v>
      </c>
      <c r="V7" s="765">
        <v>23.928174777234112</v>
      </c>
    </row>
    <row r="8" spans="1:22">
      <c r="A8" s="536">
        <v>2</v>
      </c>
      <c r="B8" s="94" t="s">
        <v>614</v>
      </c>
      <c r="C8" s="537">
        <v>99051418.676899597</v>
      </c>
      <c r="D8" s="537">
        <v>92293170.389999598</v>
      </c>
      <c r="E8" s="537">
        <v>4032124.8299999982</v>
      </c>
      <c r="F8" s="537">
        <v>2726123.4569000006</v>
      </c>
      <c r="G8" s="537">
        <v>0</v>
      </c>
      <c r="H8" s="537">
        <v>98817505.666608393</v>
      </c>
      <c r="I8" s="537">
        <v>91767567.731061682</v>
      </c>
      <c r="J8" s="537">
        <v>4166356.998584419</v>
      </c>
      <c r="K8" s="537">
        <v>2883580.9369622911</v>
      </c>
      <c r="L8" s="537">
        <v>0</v>
      </c>
      <c r="M8" s="537">
        <v>3329235.0500000054</v>
      </c>
      <c r="N8" s="537">
        <v>629469.57000000274</v>
      </c>
      <c r="O8" s="537">
        <v>377724.39000000031</v>
      </c>
      <c r="P8" s="537">
        <v>2322041.0900000026</v>
      </c>
      <c r="Q8" s="537">
        <v>0</v>
      </c>
      <c r="R8" s="537">
        <v>18308</v>
      </c>
      <c r="S8" s="764">
        <v>0.27244743612769434</v>
      </c>
      <c r="T8" s="764">
        <v>0.35301743145674236</v>
      </c>
      <c r="U8" s="764">
        <v>0.25645805055359644</v>
      </c>
      <c r="V8" s="765">
        <v>28.980799076927827</v>
      </c>
    </row>
    <row r="9" spans="1:22">
      <c r="A9" s="536">
        <v>3</v>
      </c>
      <c r="B9" s="94" t="s">
        <v>615</v>
      </c>
      <c r="C9" s="537">
        <v>0</v>
      </c>
      <c r="D9" s="537">
        <v>0</v>
      </c>
      <c r="E9" s="537">
        <v>0</v>
      </c>
      <c r="F9" s="537">
        <v>0</v>
      </c>
      <c r="G9" s="537">
        <v>0</v>
      </c>
      <c r="H9" s="537">
        <v>0</v>
      </c>
      <c r="I9" s="537">
        <v>0</v>
      </c>
      <c r="J9" s="537">
        <v>0</v>
      </c>
      <c r="K9" s="537">
        <v>0</v>
      </c>
      <c r="L9" s="537">
        <v>0</v>
      </c>
      <c r="M9" s="537">
        <v>0</v>
      </c>
      <c r="N9" s="537">
        <v>0</v>
      </c>
      <c r="O9" s="537">
        <v>0</v>
      </c>
      <c r="P9" s="537">
        <v>0</v>
      </c>
      <c r="Q9" s="537">
        <v>0</v>
      </c>
      <c r="R9" s="537">
        <v>0</v>
      </c>
      <c r="S9" s="764"/>
      <c r="T9" s="764"/>
      <c r="U9" s="764"/>
      <c r="V9" s="766"/>
    </row>
    <row r="10" spans="1:22">
      <c r="A10" s="536">
        <v>4</v>
      </c>
      <c r="B10" s="94" t="s">
        <v>616</v>
      </c>
      <c r="C10" s="537">
        <v>9385095.7600000575</v>
      </c>
      <c r="D10" s="537">
        <v>9013179.2500000577</v>
      </c>
      <c r="E10" s="537">
        <v>239452.74000000005</v>
      </c>
      <c r="F10" s="537">
        <v>132463.77000000002</v>
      </c>
      <c r="G10" s="537">
        <v>0</v>
      </c>
      <c r="H10" s="537">
        <v>9281830.6718220711</v>
      </c>
      <c r="I10" s="537">
        <v>8858451.2955744993</v>
      </c>
      <c r="J10" s="537">
        <v>253496.77680479255</v>
      </c>
      <c r="K10" s="537">
        <v>169882.59944278092</v>
      </c>
      <c r="L10" s="537">
        <v>0</v>
      </c>
      <c r="M10" s="537">
        <v>219246.64999999973</v>
      </c>
      <c r="N10" s="537">
        <v>51381.989999999736</v>
      </c>
      <c r="O10" s="537">
        <v>32088.23</v>
      </c>
      <c r="P10" s="537">
        <v>135776.43</v>
      </c>
      <c r="Q10" s="537">
        <v>0</v>
      </c>
      <c r="R10" s="537">
        <v>8120</v>
      </c>
      <c r="S10" s="764">
        <v>0.21014295217107998</v>
      </c>
      <c r="T10" s="764">
        <v>0.29476905224197025</v>
      </c>
      <c r="U10" s="764">
        <v>0.22220501654512681</v>
      </c>
      <c r="V10" s="765">
        <v>11.787472437113458</v>
      </c>
    </row>
    <row r="11" spans="1:22">
      <c r="A11" s="536">
        <v>5</v>
      </c>
      <c r="B11" s="94" t="s">
        <v>617</v>
      </c>
      <c r="C11" s="537">
        <v>0</v>
      </c>
      <c r="D11" s="537">
        <v>0</v>
      </c>
      <c r="E11" s="537">
        <v>0</v>
      </c>
      <c r="F11" s="537">
        <v>0</v>
      </c>
      <c r="G11" s="537">
        <v>0</v>
      </c>
      <c r="H11" s="537">
        <v>0</v>
      </c>
      <c r="I11" s="537">
        <v>0</v>
      </c>
      <c r="J11" s="537">
        <v>0</v>
      </c>
      <c r="K11" s="537">
        <v>0</v>
      </c>
      <c r="L11" s="537">
        <v>0</v>
      </c>
      <c r="M11" s="537">
        <v>0</v>
      </c>
      <c r="N11" s="537">
        <v>0</v>
      </c>
      <c r="O11" s="537">
        <v>0</v>
      </c>
      <c r="P11" s="537">
        <v>0</v>
      </c>
      <c r="Q11" s="537">
        <v>0</v>
      </c>
      <c r="R11" s="537">
        <v>0</v>
      </c>
      <c r="S11" s="764"/>
      <c r="T11" s="764"/>
      <c r="U11" s="764"/>
      <c r="V11" s="766"/>
    </row>
    <row r="12" spans="1:22">
      <c r="A12" s="536">
        <v>6</v>
      </c>
      <c r="B12" s="94" t="s">
        <v>618</v>
      </c>
      <c r="C12" s="537">
        <v>0</v>
      </c>
      <c r="D12" s="537">
        <v>0</v>
      </c>
      <c r="E12" s="537">
        <v>0</v>
      </c>
      <c r="F12" s="537">
        <v>0</v>
      </c>
      <c r="G12" s="537">
        <v>0</v>
      </c>
      <c r="H12" s="537">
        <v>0</v>
      </c>
      <c r="I12" s="537">
        <v>0</v>
      </c>
      <c r="J12" s="537">
        <v>0</v>
      </c>
      <c r="K12" s="537">
        <v>0</v>
      </c>
      <c r="L12" s="537">
        <v>0</v>
      </c>
      <c r="M12" s="537">
        <v>0</v>
      </c>
      <c r="N12" s="537">
        <v>0</v>
      </c>
      <c r="O12" s="537">
        <v>0</v>
      </c>
      <c r="P12" s="537">
        <v>0</v>
      </c>
      <c r="Q12" s="537">
        <v>0</v>
      </c>
      <c r="R12" s="537">
        <v>0</v>
      </c>
      <c r="S12" s="764"/>
      <c r="T12" s="764"/>
      <c r="U12" s="764"/>
      <c r="V12" s="766"/>
    </row>
    <row r="13" spans="1:22">
      <c r="A13" s="536">
        <v>7</v>
      </c>
      <c r="B13" s="94" t="s">
        <v>619</v>
      </c>
      <c r="C13" s="766">
        <v>29506462.749999963</v>
      </c>
      <c r="D13" s="766">
        <v>28354872.299999963</v>
      </c>
      <c r="E13" s="766">
        <v>662728.93999999994</v>
      </c>
      <c r="F13" s="766">
        <v>488861.50999999989</v>
      </c>
      <c r="G13" s="766">
        <v>0</v>
      </c>
      <c r="H13" s="766">
        <v>29353811.358108729</v>
      </c>
      <c r="I13" s="766">
        <v>28157865.181131888</v>
      </c>
      <c r="J13" s="766">
        <v>684456.45388497098</v>
      </c>
      <c r="K13" s="766">
        <v>511489.72309187404</v>
      </c>
      <c r="L13" s="766">
        <v>0</v>
      </c>
      <c r="M13" s="766">
        <v>578509.64</v>
      </c>
      <c r="N13" s="766">
        <v>121971.85999999997</v>
      </c>
      <c r="O13" s="766">
        <v>60502.69</v>
      </c>
      <c r="P13" s="766">
        <v>396035.09000000008</v>
      </c>
      <c r="Q13" s="766">
        <v>0</v>
      </c>
      <c r="R13" s="766">
        <v>3099</v>
      </c>
      <c r="S13" s="764">
        <v>0.23418249949189895</v>
      </c>
      <c r="T13" s="764">
        <v>0.29974120761123491</v>
      </c>
      <c r="U13" s="764">
        <v>0.22704803304692836</v>
      </c>
      <c r="V13" s="765">
        <v>34.236658024205937</v>
      </c>
    </row>
    <row r="14" spans="1:22">
      <c r="A14" s="536">
        <v>7.1</v>
      </c>
      <c r="B14" s="538" t="s">
        <v>620</v>
      </c>
      <c r="C14" s="537">
        <v>4633224.2500000019</v>
      </c>
      <c r="D14" s="537">
        <v>4535559.3300000019</v>
      </c>
      <c r="E14" s="537">
        <v>57479.099999999991</v>
      </c>
      <c r="F14" s="537">
        <v>40185.82</v>
      </c>
      <c r="G14" s="537">
        <v>0</v>
      </c>
      <c r="H14" s="537">
        <v>4605795.7747479137</v>
      </c>
      <c r="I14" s="537">
        <v>4505604.5513118794</v>
      </c>
      <c r="J14" s="537">
        <v>58407.202825337808</v>
      </c>
      <c r="K14" s="537">
        <v>41784.020610697044</v>
      </c>
      <c r="L14" s="537">
        <v>0</v>
      </c>
      <c r="M14" s="537">
        <v>45576.57</v>
      </c>
      <c r="N14" s="537">
        <v>7923.3300000000008</v>
      </c>
      <c r="O14" s="537">
        <v>9508.5499999999993</v>
      </c>
      <c r="P14" s="537">
        <v>28144.69</v>
      </c>
      <c r="Q14" s="537">
        <v>0</v>
      </c>
      <c r="R14" s="537">
        <v>179</v>
      </c>
      <c r="S14" s="764">
        <v>0.18641325807553161</v>
      </c>
      <c r="T14" s="764">
        <v>0.23190256484802316</v>
      </c>
      <c r="U14" s="764">
        <v>0.19190190306484653</v>
      </c>
      <c r="V14" s="765">
        <v>47.242565133297596</v>
      </c>
    </row>
    <row r="15" spans="1:22" ht="24">
      <c r="A15" s="536">
        <v>7.2</v>
      </c>
      <c r="B15" s="538" t="s">
        <v>621</v>
      </c>
      <c r="C15" s="537">
        <v>0</v>
      </c>
      <c r="D15" s="537">
        <v>0</v>
      </c>
      <c r="E15" s="537">
        <v>0</v>
      </c>
      <c r="F15" s="537">
        <v>0</v>
      </c>
      <c r="G15" s="537">
        <v>0</v>
      </c>
      <c r="H15" s="537">
        <v>0</v>
      </c>
      <c r="I15" s="537">
        <v>0</v>
      </c>
      <c r="J15" s="537">
        <v>0</v>
      </c>
      <c r="K15" s="537">
        <v>0</v>
      </c>
      <c r="L15" s="537">
        <v>0</v>
      </c>
      <c r="M15" s="537">
        <v>0</v>
      </c>
      <c r="N15" s="537">
        <v>0</v>
      </c>
      <c r="O15" s="537">
        <v>0</v>
      </c>
      <c r="P15" s="537">
        <v>0</v>
      </c>
      <c r="Q15" s="537">
        <v>0</v>
      </c>
      <c r="R15" s="537">
        <v>0</v>
      </c>
      <c r="S15" s="764"/>
      <c r="T15" s="764"/>
      <c r="U15" s="764"/>
      <c r="V15" s="766"/>
    </row>
    <row r="16" spans="1:22">
      <c r="A16" s="536">
        <v>7.3</v>
      </c>
      <c r="B16" s="538" t="s">
        <v>622</v>
      </c>
      <c r="C16" s="537">
        <v>24873238.499999963</v>
      </c>
      <c r="D16" s="537">
        <v>23819312.969999962</v>
      </c>
      <c r="E16" s="537">
        <v>605249.84</v>
      </c>
      <c r="F16" s="537">
        <v>448675.68999999989</v>
      </c>
      <c r="G16" s="537">
        <v>0</v>
      </c>
      <c r="H16" s="537">
        <v>24748015.583360817</v>
      </c>
      <c r="I16" s="537">
        <v>23652260.629820008</v>
      </c>
      <c r="J16" s="537">
        <v>626049.25105963321</v>
      </c>
      <c r="K16" s="537">
        <v>469705.702481177</v>
      </c>
      <c r="L16" s="537">
        <v>0</v>
      </c>
      <c r="M16" s="537">
        <v>532933.07000000007</v>
      </c>
      <c r="N16" s="537">
        <v>114048.52999999997</v>
      </c>
      <c r="O16" s="537">
        <v>50994.14</v>
      </c>
      <c r="P16" s="537">
        <v>367890.40000000008</v>
      </c>
      <c r="Q16" s="537">
        <v>0</v>
      </c>
      <c r="R16" s="537">
        <v>2920</v>
      </c>
      <c r="S16" s="764">
        <v>0.24099694450610248</v>
      </c>
      <c r="T16" s="764">
        <v>0.30941862109408141</v>
      </c>
      <c r="U16" s="764">
        <v>0.23358899777296682</v>
      </c>
      <c r="V16" s="765">
        <v>31.816158820621574</v>
      </c>
    </row>
    <row r="17" spans="1:26">
      <c r="A17" s="536">
        <v>8</v>
      </c>
      <c r="B17" s="94" t="s">
        <v>623</v>
      </c>
      <c r="C17" s="537">
        <v>15520609.328600029</v>
      </c>
      <c r="D17" s="537">
        <v>13807632.805300029</v>
      </c>
      <c r="E17" s="537">
        <v>1566547.7532999995</v>
      </c>
      <c r="F17" s="537">
        <v>146428.76999999999</v>
      </c>
      <c r="G17" s="537">
        <v>0</v>
      </c>
      <c r="H17" s="537">
        <v>15692121.830650821</v>
      </c>
      <c r="I17" s="537">
        <v>13943811.498038681</v>
      </c>
      <c r="J17" s="537">
        <v>1595225.058217756</v>
      </c>
      <c r="K17" s="537">
        <v>153085.27439438397</v>
      </c>
      <c r="L17" s="537">
        <v>0</v>
      </c>
      <c r="M17" s="537">
        <v>59911.990000000005</v>
      </c>
      <c r="N17" s="537">
        <v>863.63999999999942</v>
      </c>
      <c r="O17" s="537">
        <v>183.92999999999992</v>
      </c>
      <c r="P17" s="537">
        <v>58864.420000000006</v>
      </c>
      <c r="Q17" s="537">
        <v>0</v>
      </c>
      <c r="R17" s="537">
        <v>9715</v>
      </c>
      <c r="S17" s="764">
        <v>0.16951895465885847</v>
      </c>
      <c r="T17" s="764">
        <v>0.18440604106018635</v>
      </c>
      <c r="U17" s="764">
        <v>0.21265208352428761</v>
      </c>
      <c r="V17" s="765">
        <v>0.69916664679053331</v>
      </c>
    </row>
    <row r="18" spans="1:26">
      <c r="A18" s="539">
        <v>9</v>
      </c>
      <c r="B18" s="774" t="s">
        <v>624</v>
      </c>
      <c r="C18" s="537">
        <v>0</v>
      </c>
      <c r="D18" s="540">
        <v>0</v>
      </c>
      <c r="E18" s="540">
        <v>0</v>
      </c>
      <c r="F18" s="540">
        <v>0</v>
      </c>
      <c r="G18" s="537">
        <v>0</v>
      </c>
      <c r="H18" s="537">
        <v>0</v>
      </c>
      <c r="I18" s="540">
        <v>0</v>
      </c>
      <c r="J18" s="540">
        <v>0</v>
      </c>
      <c r="K18" s="540">
        <v>0</v>
      </c>
      <c r="L18" s="540">
        <v>0</v>
      </c>
      <c r="M18" s="537">
        <v>0</v>
      </c>
      <c r="N18" s="540">
        <v>0</v>
      </c>
      <c r="O18" s="540">
        <v>0</v>
      </c>
      <c r="P18" s="540">
        <v>0</v>
      </c>
      <c r="Q18" s="540">
        <v>0</v>
      </c>
      <c r="R18" s="540">
        <v>0</v>
      </c>
      <c r="S18" s="767"/>
      <c r="T18" s="767"/>
      <c r="U18" s="767"/>
      <c r="V18" s="768"/>
    </row>
    <row r="19" spans="1:26">
      <c r="A19" s="536">
        <v>10</v>
      </c>
      <c r="B19" s="775" t="s">
        <v>639</v>
      </c>
      <c r="C19" s="776">
        <v>204197445.11549968</v>
      </c>
      <c r="D19" s="776">
        <v>190580421.75529966</v>
      </c>
      <c r="E19" s="776">
        <v>9080914.8632999975</v>
      </c>
      <c r="F19" s="776">
        <v>4536108.4968999997</v>
      </c>
      <c r="G19" s="776">
        <v>0</v>
      </c>
      <c r="H19" s="776">
        <v>204167668.71586579</v>
      </c>
      <c r="I19" s="776">
        <v>189883957.18734083</v>
      </c>
      <c r="J19" s="776">
        <v>9353750.0545835644</v>
      </c>
      <c r="K19" s="776">
        <v>4929961.4739414193</v>
      </c>
      <c r="L19" s="776">
        <v>0</v>
      </c>
      <c r="M19" s="776">
        <v>4554132.0300000058</v>
      </c>
      <c r="N19" s="776">
        <v>883539.5400000026</v>
      </c>
      <c r="O19" s="776">
        <v>494985.47000000026</v>
      </c>
      <c r="P19" s="776">
        <v>3175607.0200000033</v>
      </c>
      <c r="Q19" s="776">
        <v>0</v>
      </c>
      <c r="R19" s="776">
        <v>43600</v>
      </c>
      <c r="S19" s="769">
        <v>0.26356762749089974</v>
      </c>
      <c r="T19" s="769">
        <v>0.34461186608971117</v>
      </c>
      <c r="U19" s="769">
        <v>0.25579380026225895</v>
      </c>
      <c r="V19" s="770">
        <v>25.518439465478476</v>
      </c>
    </row>
    <row r="20" spans="1:26" ht="24">
      <c r="A20" s="536">
        <v>10.1</v>
      </c>
      <c r="B20" s="538" t="s">
        <v>642</v>
      </c>
      <c r="C20" s="537">
        <v>1075812.0999999999</v>
      </c>
      <c r="D20" s="537">
        <v>948876.33</v>
      </c>
      <c r="E20" s="537">
        <v>83235.949999999983</v>
      </c>
      <c r="F20" s="537">
        <v>43699.82</v>
      </c>
      <c r="G20" s="537">
        <v>0</v>
      </c>
      <c r="H20" s="537">
        <v>1081407.269467108</v>
      </c>
      <c r="I20" s="537">
        <v>949027.89042853261</v>
      </c>
      <c r="J20" s="537">
        <v>83503.180712696863</v>
      </c>
      <c r="K20" s="537">
        <v>48876.198325878497</v>
      </c>
      <c r="L20" s="537">
        <v>0</v>
      </c>
      <c r="M20" s="537">
        <v>26610.11</v>
      </c>
      <c r="N20" s="537">
        <v>1657.37</v>
      </c>
      <c r="O20" s="537">
        <v>625.67999999999995</v>
      </c>
      <c r="P20" s="537">
        <v>24327.06</v>
      </c>
      <c r="Q20" s="537">
        <v>0</v>
      </c>
      <c r="R20" s="537">
        <v>459</v>
      </c>
      <c r="S20" s="764">
        <v>0.22893357974231596</v>
      </c>
      <c r="T20" s="764">
        <v>0.29856172633334049</v>
      </c>
      <c r="U20" s="764">
        <v>0.23228467015596324</v>
      </c>
      <c r="V20" s="765">
        <v>15.80875035133896</v>
      </c>
    </row>
    <row r="21" spans="1:26">
      <c r="B21" s="721"/>
      <c r="C21" s="719"/>
      <c r="H21" s="719"/>
      <c r="Z21" s="722"/>
    </row>
    <row r="22" spans="1:26" s="720" customFormat="1" ht="12">
      <c r="C22" s="716"/>
      <c r="H22" s="716"/>
    </row>
    <row r="32" spans="1:26">
      <c r="H32" s="534" t="s">
        <v>999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69696"/>
  </sheetPr>
  <dimension ref="A1:F237"/>
  <sheetViews>
    <sheetView zoomScale="80" zoomScaleNormal="80" workbookViewId="0">
      <selection activeCell="B21" sqref="B21:C21"/>
    </sheetView>
  </sheetViews>
  <sheetFormatPr defaultColWidth="43.5546875" defaultRowHeight="12"/>
  <cols>
    <col min="1" max="1" width="8" style="25" customWidth="1"/>
    <col min="2" max="2" width="66.21875" style="26" customWidth="1"/>
    <col min="3" max="3" width="131.44140625" style="27" customWidth="1"/>
    <col min="4" max="5" width="10.21875" style="18" customWidth="1"/>
    <col min="6" max="6" width="67.6640625" style="18" customWidth="1"/>
    <col min="7" max="16384" width="43.5546875" style="18"/>
  </cols>
  <sheetData>
    <row r="1" spans="1:3" ht="13.2" thickTop="1" thickBot="1">
      <c r="A1" s="960" t="s">
        <v>152</v>
      </c>
      <c r="B1" s="961"/>
      <c r="C1" s="962"/>
    </row>
    <row r="2" spans="1:3" ht="26.25" customHeight="1">
      <c r="A2" s="52"/>
      <c r="B2" s="963" t="s">
        <v>153</v>
      </c>
      <c r="C2" s="963"/>
    </row>
    <row r="3" spans="1:3" s="23" customFormat="1" ht="11.25" customHeight="1">
      <c r="A3" s="22"/>
      <c r="B3" s="963" t="s">
        <v>225</v>
      </c>
      <c r="C3" s="963"/>
    </row>
    <row r="4" spans="1:3" ht="12" customHeight="1" thickBot="1">
      <c r="A4" s="938" t="s">
        <v>229</v>
      </c>
      <c r="B4" s="939"/>
      <c r="C4" s="940"/>
    </row>
    <row r="5" spans="1:3" ht="12.6" thickTop="1">
      <c r="A5" s="19"/>
      <c r="B5" s="941" t="s">
        <v>154</v>
      </c>
      <c r="C5" s="942"/>
    </row>
    <row r="6" spans="1:3">
      <c r="A6" s="52"/>
      <c r="B6" s="920" t="s">
        <v>226</v>
      </c>
      <c r="C6" s="921"/>
    </row>
    <row r="7" spans="1:3">
      <c r="A7" s="52"/>
      <c r="B7" s="920" t="s">
        <v>155</v>
      </c>
      <c r="C7" s="921"/>
    </row>
    <row r="8" spans="1:3">
      <c r="A8" s="52"/>
      <c r="B8" s="920" t="s">
        <v>227</v>
      </c>
      <c r="C8" s="921"/>
    </row>
    <row r="9" spans="1:3">
      <c r="A9" s="52"/>
      <c r="B9" s="966" t="s">
        <v>228</v>
      </c>
      <c r="C9" s="967"/>
    </row>
    <row r="10" spans="1:3">
      <c r="A10" s="52"/>
      <c r="B10" s="958" t="s">
        <v>156</v>
      </c>
      <c r="C10" s="959" t="s">
        <v>156</v>
      </c>
    </row>
    <row r="11" spans="1:3">
      <c r="A11" s="52"/>
      <c r="B11" s="958" t="s">
        <v>157</v>
      </c>
      <c r="C11" s="959" t="s">
        <v>157</v>
      </c>
    </row>
    <row r="12" spans="1:3">
      <c r="A12" s="52"/>
      <c r="B12" s="958" t="s">
        <v>158</v>
      </c>
      <c r="C12" s="959" t="s">
        <v>158</v>
      </c>
    </row>
    <row r="13" spans="1:3">
      <c r="A13" s="52"/>
      <c r="B13" s="958" t="s">
        <v>159</v>
      </c>
      <c r="C13" s="959" t="s">
        <v>159</v>
      </c>
    </row>
    <row r="14" spans="1:3">
      <c r="A14" s="52"/>
      <c r="B14" s="958" t="s">
        <v>160</v>
      </c>
      <c r="C14" s="959" t="s">
        <v>160</v>
      </c>
    </row>
    <row r="15" spans="1:3" ht="21.75" customHeight="1">
      <c r="A15" s="52"/>
      <c r="B15" s="958" t="s">
        <v>161</v>
      </c>
      <c r="C15" s="959" t="s">
        <v>161</v>
      </c>
    </row>
    <row r="16" spans="1:3">
      <c r="A16" s="52"/>
      <c r="B16" s="958" t="s">
        <v>162</v>
      </c>
      <c r="C16" s="959" t="s">
        <v>163</v>
      </c>
    </row>
    <row r="17" spans="1:6">
      <c r="A17" s="52"/>
      <c r="B17" s="958" t="s">
        <v>164</v>
      </c>
      <c r="C17" s="959" t="s">
        <v>165</v>
      </c>
    </row>
    <row r="18" spans="1:6">
      <c r="A18" s="52"/>
      <c r="B18" s="958" t="s">
        <v>166</v>
      </c>
      <c r="C18" s="959" t="s">
        <v>167</v>
      </c>
    </row>
    <row r="19" spans="1:6">
      <c r="A19" s="136"/>
      <c r="B19" s="964" t="s">
        <v>168</v>
      </c>
      <c r="C19" s="965" t="s">
        <v>168</v>
      </c>
    </row>
    <row r="20" spans="1:6">
      <c r="A20" s="136"/>
      <c r="B20" s="964" t="s">
        <v>859</v>
      </c>
      <c r="C20" s="965" t="s">
        <v>169</v>
      </c>
    </row>
    <row r="21" spans="1:6">
      <c r="A21" s="52"/>
      <c r="B21" s="964" t="s">
        <v>861</v>
      </c>
      <c r="C21" s="965" t="s">
        <v>170</v>
      </c>
    </row>
    <row r="22" spans="1:6" ht="23.25" customHeight="1">
      <c r="A22" s="52"/>
      <c r="B22" s="958" t="s">
        <v>171</v>
      </c>
      <c r="C22" s="959" t="s">
        <v>172</v>
      </c>
      <c r="F22" s="135"/>
    </row>
    <row r="23" spans="1:6">
      <c r="A23" s="52"/>
      <c r="B23" s="958" t="s">
        <v>173</v>
      </c>
      <c r="C23" s="959" t="s">
        <v>173</v>
      </c>
    </row>
    <row r="24" spans="1:6">
      <c r="A24" s="52"/>
      <c r="B24" s="958" t="s">
        <v>174</v>
      </c>
      <c r="C24" s="959" t="s">
        <v>175</v>
      </c>
    </row>
    <row r="25" spans="1:6" ht="12.6" thickBot="1">
      <c r="A25" s="20"/>
      <c r="B25" s="954" t="s">
        <v>176</v>
      </c>
      <c r="C25" s="955"/>
    </row>
    <row r="26" spans="1:6" ht="13.2" thickTop="1" thickBot="1">
      <c r="A26" s="938" t="s">
        <v>764</v>
      </c>
      <c r="B26" s="939"/>
      <c r="C26" s="940"/>
    </row>
    <row r="27" spans="1:6" ht="13.2" thickTop="1" thickBot="1">
      <c r="A27" s="21"/>
      <c r="B27" s="911" t="s">
        <v>765</v>
      </c>
      <c r="C27" s="912"/>
    </row>
    <row r="28" spans="1:6" ht="13.2" thickTop="1" thickBot="1">
      <c r="A28" s="948" t="s">
        <v>230</v>
      </c>
      <c r="B28" s="949"/>
      <c r="C28" s="950"/>
    </row>
    <row r="29" spans="1:6" ht="12.6" thickTop="1">
      <c r="A29" s="19"/>
      <c r="B29" s="956" t="s">
        <v>916</v>
      </c>
      <c r="C29" s="957" t="s">
        <v>177</v>
      </c>
    </row>
    <row r="30" spans="1:6">
      <c r="A30" s="52"/>
      <c r="B30" s="929" t="s">
        <v>917</v>
      </c>
      <c r="C30" s="930" t="s">
        <v>178</v>
      </c>
    </row>
    <row r="31" spans="1:6">
      <c r="A31" s="52"/>
      <c r="B31" s="929" t="s">
        <v>918</v>
      </c>
      <c r="C31" s="930" t="s">
        <v>179</v>
      </c>
    </row>
    <row r="32" spans="1:6">
      <c r="A32" s="52"/>
      <c r="B32" s="929" t="s">
        <v>919</v>
      </c>
      <c r="C32" s="930" t="s">
        <v>180</v>
      </c>
    </row>
    <row r="33" spans="1:3">
      <c r="A33" s="52"/>
      <c r="B33" s="929" t="s">
        <v>920</v>
      </c>
      <c r="C33" s="930" t="s">
        <v>183</v>
      </c>
    </row>
    <row r="34" spans="1:3">
      <c r="A34" s="52"/>
      <c r="B34" s="929" t="s">
        <v>921</v>
      </c>
      <c r="C34" s="930" t="s">
        <v>181</v>
      </c>
    </row>
    <row r="35" spans="1:3">
      <c r="A35" s="52"/>
      <c r="B35" s="929" t="s">
        <v>922</v>
      </c>
      <c r="C35" s="930" t="s">
        <v>182</v>
      </c>
    </row>
    <row r="36" spans="1:3">
      <c r="A36" s="52"/>
      <c r="B36" s="951" t="s">
        <v>923</v>
      </c>
      <c r="C36" s="952"/>
    </row>
    <row r="37" spans="1:3" ht="24.75" customHeight="1">
      <c r="A37" s="52"/>
      <c r="B37" s="929" t="s">
        <v>766</v>
      </c>
      <c r="C37" s="930" t="s">
        <v>184</v>
      </c>
    </row>
    <row r="38" spans="1:3" ht="23.25" customHeight="1">
      <c r="A38" s="52"/>
      <c r="B38" s="929" t="s">
        <v>924</v>
      </c>
      <c r="C38" s="930" t="s">
        <v>185</v>
      </c>
    </row>
    <row r="39" spans="1:3" ht="23.25" customHeight="1">
      <c r="A39" s="63"/>
      <c r="B39" s="951" t="s">
        <v>925</v>
      </c>
      <c r="C39" s="953"/>
    </row>
    <row r="40" spans="1:3" ht="12" customHeight="1">
      <c r="A40" s="52"/>
      <c r="B40" s="929" t="s">
        <v>926</v>
      </c>
      <c r="C40" s="930"/>
    </row>
    <row r="41" spans="1:3" ht="12.6" thickBot="1">
      <c r="A41" s="948" t="s">
        <v>231</v>
      </c>
      <c r="B41" s="949"/>
      <c r="C41" s="950"/>
    </row>
    <row r="42" spans="1:3" ht="12.6" thickTop="1">
      <c r="A42" s="19"/>
      <c r="B42" s="941" t="s">
        <v>258</v>
      </c>
      <c r="C42" s="942" t="s">
        <v>186</v>
      </c>
    </row>
    <row r="43" spans="1:3">
      <c r="A43" s="52"/>
      <c r="B43" s="920" t="s">
        <v>257</v>
      </c>
      <c r="C43" s="921"/>
    </row>
    <row r="44" spans="1:3" ht="23.25" customHeight="1" thickBot="1">
      <c r="A44" s="20"/>
      <c r="B44" s="936" t="s">
        <v>187</v>
      </c>
      <c r="C44" s="937" t="s">
        <v>188</v>
      </c>
    </row>
    <row r="45" spans="1:3" ht="11.25" customHeight="1" thickTop="1" thickBot="1">
      <c r="A45" s="938" t="s">
        <v>232</v>
      </c>
      <c r="B45" s="939"/>
      <c r="C45" s="940"/>
    </row>
    <row r="46" spans="1:3" ht="26.25" customHeight="1" thickTop="1">
      <c r="A46" s="52"/>
      <c r="B46" s="920" t="s">
        <v>927</v>
      </c>
      <c r="C46" s="921"/>
    </row>
    <row r="47" spans="1:3" ht="12.6" thickBot="1">
      <c r="A47" s="938" t="s">
        <v>233</v>
      </c>
      <c r="B47" s="939"/>
      <c r="C47" s="940"/>
    </row>
    <row r="48" spans="1:3" ht="12.6" thickTop="1">
      <c r="A48" s="19"/>
      <c r="B48" s="941" t="s">
        <v>189</v>
      </c>
      <c r="C48" s="942" t="s">
        <v>189</v>
      </c>
    </row>
    <row r="49" spans="1:4" ht="11.25" customHeight="1">
      <c r="A49" s="52"/>
      <c r="B49" s="920" t="s">
        <v>190</v>
      </c>
      <c r="C49" s="921" t="s">
        <v>190</v>
      </c>
    </row>
    <row r="50" spans="1:4">
      <c r="A50" s="52"/>
      <c r="B50" s="920" t="s">
        <v>191</v>
      </c>
      <c r="C50" s="921" t="s">
        <v>191</v>
      </c>
    </row>
    <row r="51" spans="1:4" ht="11.25" customHeight="1">
      <c r="A51" s="52"/>
      <c r="B51" s="920" t="s">
        <v>768</v>
      </c>
      <c r="C51" s="921" t="s">
        <v>192</v>
      </c>
    </row>
    <row r="52" spans="1:4" ht="33.6" customHeight="1">
      <c r="A52" s="52"/>
      <c r="B52" s="920" t="s">
        <v>928</v>
      </c>
      <c r="C52" s="921" t="s">
        <v>193</v>
      </c>
    </row>
    <row r="53" spans="1:4" ht="11.25" customHeight="1">
      <c r="A53" s="52"/>
      <c r="B53" s="920" t="s">
        <v>929</v>
      </c>
      <c r="C53" s="921" t="s">
        <v>194</v>
      </c>
    </row>
    <row r="54" spans="1:4" ht="11.25" customHeight="1" thickBot="1">
      <c r="A54" s="938" t="s">
        <v>234</v>
      </c>
      <c r="B54" s="939"/>
      <c r="C54" s="940"/>
    </row>
    <row r="55" spans="1:4" ht="12.6" thickTop="1">
      <c r="A55" s="19"/>
      <c r="B55" s="941" t="s">
        <v>189</v>
      </c>
      <c r="C55" s="942" t="s">
        <v>189</v>
      </c>
    </row>
    <row r="56" spans="1:4">
      <c r="A56" s="52"/>
      <c r="B56" s="920" t="s">
        <v>195</v>
      </c>
      <c r="C56" s="921" t="s">
        <v>195</v>
      </c>
    </row>
    <row r="57" spans="1:4">
      <c r="A57" s="52"/>
      <c r="B57" s="920" t="s">
        <v>237</v>
      </c>
      <c r="C57" s="921" t="s">
        <v>196</v>
      </c>
    </row>
    <row r="58" spans="1:4">
      <c r="A58" s="52"/>
      <c r="B58" s="920" t="s">
        <v>870</v>
      </c>
      <c r="C58" s="921" t="s">
        <v>197</v>
      </c>
    </row>
    <row r="59" spans="1:4">
      <c r="A59" s="52"/>
      <c r="B59" s="920" t="s">
        <v>198</v>
      </c>
      <c r="C59" s="921" t="s">
        <v>198</v>
      </c>
    </row>
    <row r="60" spans="1:4">
      <c r="A60" s="52"/>
      <c r="B60" s="920" t="s">
        <v>199</v>
      </c>
      <c r="C60" s="921" t="s">
        <v>199</v>
      </c>
    </row>
    <row r="61" spans="1:4">
      <c r="A61" s="52"/>
      <c r="B61" s="920" t="s">
        <v>238</v>
      </c>
      <c r="C61" s="921" t="s">
        <v>200</v>
      </c>
    </row>
    <row r="62" spans="1:4">
      <c r="A62" s="52"/>
      <c r="B62" s="920" t="s">
        <v>895</v>
      </c>
      <c r="C62" s="921" t="s">
        <v>201</v>
      </c>
      <c r="D62" s="146"/>
    </row>
    <row r="63" spans="1:4" ht="12.6" thickBot="1">
      <c r="A63" s="20"/>
      <c r="B63" s="936" t="s">
        <v>202</v>
      </c>
      <c r="C63" s="937" t="s">
        <v>202</v>
      </c>
    </row>
    <row r="64" spans="1:4" ht="11.25" customHeight="1" thickTop="1">
      <c r="A64" s="926" t="s">
        <v>235</v>
      </c>
      <c r="B64" s="927"/>
      <c r="C64" s="928"/>
    </row>
    <row r="65" spans="1:3" ht="12.6" thickBot="1">
      <c r="A65" s="20"/>
      <c r="B65" s="936" t="s">
        <v>203</v>
      </c>
      <c r="C65" s="937" t="s">
        <v>203</v>
      </c>
    </row>
    <row r="66" spans="1:3" ht="11.25" customHeight="1" thickTop="1">
      <c r="A66" s="945"/>
      <c r="B66" s="946"/>
      <c r="C66" s="947"/>
    </row>
    <row r="67" spans="1:3" ht="12.6" thickBot="1">
      <c r="A67" s="20"/>
      <c r="B67" s="936"/>
      <c r="C67" s="937"/>
    </row>
    <row r="68" spans="1:3" ht="11.25" customHeight="1" thickTop="1" thickBot="1">
      <c r="A68" s="938" t="s">
        <v>236</v>
      </c>
      <c r="B68" s="939"/>
      <c r="C68" s="940"/>
    </row>
    <row r="69" spans="1:3" ht="12.6" thickTop="1">
      <c r="A69" s="19"/>
      <c r="B69" s="941" t="s">
        <v>204</v>
      </c>
      <c r="C69" s="942" t="s">
        <v>204</v>
      </c>
    </row>
    <row r="70" spans="1:3">
      <c r="A70" s="52"/>
      <c r="B70" s="920" t="s">
        <v>770</v>
      </c>
      <c r="C70" s="921" t="s">
        <v>205</v>
      </c>
    </row>
    <row r="71" spans="1:3">
      <c r="A71" s="52"/>
      <c r="B71" s="920" t="s">
        <v>206</v>
      </c>
      <c r="C71" s="921" t="s">
        <v>206</v>
      </c>
    </row>
    <row r="72" spans="1:3" ht="55.05" customHeight="1">
      <c r="A72" s="52"/>
      <c r="B72" s="943" t="s">
        <v>938</v>
      </c>
      <c r="C72" s="944" t="s">
        <v>207</v>
      </c>
    </row>
    <row r="73" spans="1:3" ht="33.75" customHeight="1">
      <c r="A73" s="52"/>
      <c r="B73" s="934" t="s">
        <v>239</v>
      </c>
      <c r="C73" s="935" t="s">
        <v>208</v>
      </c>
    </row>
    <row r="74" spans="1:3" ht="15.75" customHeight="1">
      <c r="A74" s="52"/>
      <c r="B74" s="934" t="s">
        <v>771</v>
      </c>
      <c r="C74" s="935" t="s">
        <v>209</v>
      </c>
    </row>
    <row r="75" spans="1:3">
      <c r="A75" s="52"/>
      <c r="B75" s="920" t="s">
        <v>210</v>
      </c>
      <c r="C75" s="921" t="s">
        <v>210</v>
      </c>
    </row>
    <row r="76" spans="1:3" ht="12.6" thickBot="1">
      <c r="A76" s="20"/>
      <c r="B76" s="936" t="s">
        <v>211</v>
      </c>
      <c r="C76" s="937" t="s">
        <v>211</v>
      </c>
    </row>
    <row r="77" spans="1:3" ht="12.6" thickTop="1">
      <c r="A77" s="926" t="s">
        <v>261</v>
      </c>
      <c r="B77" s="927"/>
      <c r="C77" s="928"/>
    </row>
    <row r="78" spans="1:3">
      <c r="A78" s="52"/>
      <c r="B78" s="920" t="s">
        <v>203</v>
      </c>
      <c r="C78" s="921"/>
    </row>
    <row r="79" spans="1:3">
      <c r="A79" s="52"/>
      <c r="B79" s="920" t="s">
        <v>259</v>
      </c>
      <c r="C79" s="921"/>
    </row>
    <row r="80" spans="1:3">
      <c r="A80" s="52"/>
      <c r="B80" s="920" t="s">
        <v>260</v>
      </c>
      <c r="C80" s="921"/>
    </row>
    <row r="81" spans="1:3">
      <c r="A81" s="926" t="s">
        <v>262</v>
      </c>
      <c r="B81" s="927"/>
      <c r="C81" s="928"/>
    </row>
    <row r="82" spans="1:3">
      <c r="A82" s="52"/>
      <c r="B82" s="920" t="s">
        <v>203</v>
      </c>
      <c r="C82" s="921"/>
    </row>
    <row r="83" spans="1:3">
      <c r="A83" s="52"/>
      <c r="B83" s="920" t="s">
        <v>263</v>
      </c>
      <c r="C83" s="921"/>
    </row>
    <row r="84" spans="1:3" ht="79.5" customHeight="1">
      <c r="A84" s="52"/>
      <c r="B84" s="920" t="s">
        <v>276</v>
      </c>
      <c r="C84" s="921"/>
    </row>
    <row r="85" spans="1:3">
      <c r="A85" s="52"/>
      <c r="B85" s="920"/>
      <c r="C85" s="921"/>
    </row>
    <row r="86" spans="1:3">
      <c r="A86" s="52"/>
      <c r="B86" s="920" t="s">
        <v>264</v>
      </c>
      <c r="C86" s="921"/>
    </row>
    <row r="87" spans="1:3" ht="5.4" customHeight="1">
      <c r="A87" s="52"/>
      <c r="B87" s="920" t="s">
        <v>265</v>
      </c>
      <c r="C87" s="921"/>
    </row>
    <row r="88" spans="1:3" hidden="1">
      <c r="A88" s="52"/>
      <c r="B88" s="920" t="s">
        <v>266</v>
      </c>
      <c r="C88" s="921"/>
    </row>
    <row r="89" spans="1:3">
      <c r="A89" s="926" t="s">
        <v>267</v>
      </c>
      <c r="B89" s="927"/>
      <c r="C89" s="928"/>
    </row>
    <row r="90" spans="1:3">
      <c r="A90" s="52"/>
      <c r="B90" s="920" t="s">
        <v>203</v>
      </c>
      <c r="C90" s="921"/>
    </row>
    <row r="91" spans="1:3">
      <c r="A91" s="52"/>
      <c r="B91" s="920" t="s">
        <v>269</v>
      </c>
      <c r="C91" s="921"/>
    </row>
    <row r="92" spans="1:3" ht="12" customHeight="1">
      <c r="A92" s="52"/>
      <c r="B92" s="920" t="s">
        <v>270</v>
      </c>
      <c r="C92" s="921"/>
    </row>
    <row r="93" spans="1:3">
      <c r="A93" s="52"/>
      <c r="B93" s="920" t="s">
        <v>271</v>
      </c>
      <c r="C93" s="921"/>
    </row>
    <row r="94" spans="1:3" ht="24.75" customHeight="1">
      <c r="A94" s="52"/>
      <c r="B94" s="929" t="s">
        <v>304</v>
      </c>
      <c r="C94" s="930"/>
    </row>
    <row r="95" spans="1:3" ht="24" customHeight="1">
      <c r="A95" s="52"/>
      <c r="B95" s="929" t="s">
        <v>305</v>
      </c>
      <c r="C95" s="930"/>
    </row>
    <row r="96" spans="1:3" ht="13.5" customHeight="1">
      <c r="A96" s="52"/>
      <c r="B96" s="929" t="s">
        <v>272</v>
      </c>
      <c r="C96" s="930"/>
    </row>
    <row r="97" spans="1:3" ht="11.25" customHeight="1" thickBot="1">
      <c r="A97" s="931" t="s">
        <v>300</v>
      </c>
      <c r="B97" s="932"/>
      <c r="C97" s="933"/>
    </row>
    <row r="98" spans="1:3" ht="13.2" thickTop="1" thickBot="1">
      <c r="A98" s="925" t="s">
        <v>212</v>
      </c>
      <c r="B98" s="925"/>
      <c r="C98" s="925"/>
    </row>
    <row r="99" spans="1:3">
      <c r="A99" s="30">
        <v>2</v>
      </c>
      <c r="B99" s="45" t="s">
        <v>280</v>
      </c>
      <c r="C99" s="45" t="s">
        <v>301</v>
      </c>
    </row>
    <row r="100" spans="1:3">
      <c r="A100" s="24">
        <v>3</v>
      </c>
      <c r="B100" s="46" t="s">
        <v>281</v>
      </c>
      <c r="C100" s="47" t="s">
        <v>302</v>
      </c>
    </row>
    <row r="101" spans="1:3">
      <c r="A101" s="24">
        <v>4</v>
      </c>
      <c r="B101" s="46" t="s">
        <v>282</v>
      </c>
      <c r="C101" s="47" t="s">
        <v>306</v>
      </c>
    </row>
    <row r="102" spans="1:3" ht="11.25" customHeight="1">
      <c r="A102" s="24">
        <v>5</v>
      </c>
      <c r="B102" s="46" t="s">
        <v>283</v>
      </c>
      <c r="C102" s="47" t="s">
        <v>303</v>
      </c>
    </row>
    <row r="103" spans="1:3" ht="12" customHeight="1">
      <c r="A103" s="24">
        <v>6</v>
      </c>
      <c r="B103" s="46" t="s">
        <v>298</v>
      </c>
      <c r="C103" s="47" t="s">
        <v>284</v>
      </c>
    </row>
    <row r="104" spans="1:3" ht="12" customHeight="1">
      <c r="A104" s="24">
        <v>7</v>
      </c>
      <c r="B104" s="46" t="s">
        <v>285</v>
      </c>
      <c r="C104" s="47" t="s">
        <v>299</v>
      </c>
    </row>
    <row r="105" spans="1:3">
      <c r="A105" s="24">
        <v>8</v>
      </c>
      <c r="B105" s="46" t="s">
        <v>290</v>
      </c>
      <c r="C105" s="47" t="s">
        <v>310</v>
      </c>
    </row>
    <row r="106" spans="1:3" ht="11.25" customHeight="1">
      <c r="A106" s="926" t="s">
        <v>273</v>
      </c>
      <c r="B106" s="927"/>
      <c r="C106" s="928"/>
    </row>
    <row r="107" spans="1:3" ht="12" customHeight="1">
      <c r="A107" s="52"/>
      <c r="B107" s="920" t="s">
        <v>203</v>
      </c>
      <c r="C107" s="921"/>
    </row>
    <row r="108" spans="1:3">
      <c r="A108" s="926" t="s">
        <v>420</v>
      </c>
      <c r="B108" s="927"/>
      <c r="C108" s="928"/>
    </row>
    <row r="109" spans="1:3" ht="12" customHeight="1">
      <c r="A109" s="52"/>
      <c r="B109" s="920" t="s">
        <v>422</v>
      </c>
      <c r="C109" s="921"/>
    </row>
    <row r="110" spans="1:3">
      <c r="A110" s="52"/>
      <c r="B110" s="920" t="s">
        <v>423</v>
      </c>
      <c r="C110" s="921"/>
    </row>
    <row r="111" spans="1:3">
      <c r="A111" s="52"/>
      <c r="B111" s="920" t="s">
        <v>421</v>
      </c>
      <c r="C111" s="921"/>
    </row>
    <row r="112" spans="1:3">
      <c r="A112" s="918" t="s">
        <v>646</v>
      </c>
      <c r="B112" s="918"/>
      <c r="C112" s="918"/>
    </row>
    <row r="113" spans="1:3">
      <c r="A113" s="922" t="s">
        <v>152</v>
      </c>
      <c r="B113" s="922"/>
      <c r="C113" s="922"/>
    </row>
    <row r="114" spans="1:3">
      <c r="A114" s="122">
        <v>1</v>
      </c>
      <c r="B114" s="907" t="s">
        <v>930</v>
      </c>
      <c r="C114" s="908"/>
    </row>
    <row r="115" spans="1:3">
      <c r="A115" s="122">
        <v>2</v>
      </c>
      <c r="B115" s="923" t="s">
        <v>931</v>
      </c>
      <c r="C115" s="924"/>
    </row>
    <row r="116" spans="1:3">
      <c r="A116" s="122">
        <v>3</v>
      </c>
      <c r="B116" s="907" t="s">
        <v>844</v>
      </c>
      <c r="C116" s="908"/>
    </row>
    <row r="117" spans="1:3">
      <c r="A117" s="122">
        <v>4</v>
      </c>
      <c r="B117" s="907" t="s">
        <v>843</v>
      </c>
      <c r="C117" s="908"/>
    </row>
    <row r="118" spans="1:3">
      <c r="A118" s="122">
        <v>5</v>
      </c>
      <c r="B118" s="148" t="s">
        <v>842</v>
      </c>
      <c r="C118" s="149"/>
    </row>
    <row r="119" spans="1:3">
      <c r="A119" s="122">
        <v>6</v>
      </c>
      <c r="B119" s="907" t="s">
        <v>866</v>
      </c>
      <c r="C119" s="908"/>
    </row>
    <row r="120" spans="1:3" ht="48.45" customHeight="1">
      <c r="A120" s="122">
        <v>7</v>
      </c>
      <c r="B120" s="907" t="s">
        <v>867</v>
      </c>
      <c r="C120" s="908"/>
    </row>
    <row r="121" spans="1:3">
      <c r="A121" s="101">
        <v>8</v>
      </c>
      <c r="B121" s="96" t="s">
        <v>562</v>
      </c>
      <c r="C121" s="119" t="s">
        <v>841</v>
      </c>
    </row>
    <row r="122" spans="1:3" ht="24">
      <c r="A122" s="122">
        <v>9.01</v>
      </c>
      <c r="B122" s="96" t="s">
        <v>449</v>
      </c>
      <c r="C122" s="97" t="s">
        <v>609</v>
      </c>
    </row>
    <row r="123" spans="1:3" ht="36">
      <c r="A123" s="122">
        <v>9.02</v>
      </c>
      <c r="B123" s="96" t="s">
        <v>450</v>
      </c>
      <c r="C123" s="97" t="s">
        <v>932</v>
      </c>
    </row>
    <row r="124" spans="1:3">
      <c r="A124" s="122">
        <v>9.0299999999999994</v>
      </c>
      <c r="B124" s="97" t="s">
        <v>779</v>
      </c>
      <c r="C124" s="97" t="s">
        <v>537</v>
      </c>
    </row>
    <row r="125" spans="1:3">
      <c r="A125" s="122">
        <v>9.0399999999999991</v>
      </c>
      <c r="B125" s="96" t="s">
        <v>451</v>
      </c>
      <c r="C125" s="97" t="s">
        <v>538</v>
      </c>
    </row>
    <row r="126" spans="1:3">
      <c r="A126" s="122">
        <v>9.0500000000000007</v>
      </c>
      <c r="B126" s="96" t="s">
        <v>452</v>
      </c>
      <c r="C126" s="97" t="s">
        <v>539</v>
      </c>
    </row>
    <row r="127" spans="1:3" ht="24">
      <c r="A127" s="122">
        <v>9.06</v>
      </c>
      <c r="B127" s="96" t="s">
        <v>453</v>
      </c>
      <c r="C127" s="97" t="s">
        <v>540</v>
      </c>
    </row>
    <row r="128" spans="1:3">
      <c r="A128" s="122">
        <v>9.07</v>
      </c>
      <c r="B128" s="124" t="s">
        <v>454</v>
      </c>
      <c r="C128" s="97" t="s">
        <v>541</v>
      </c>
    </row>
    <row r="129" spans="1:3" ht="24">
      <c r="A129" s="122">
        <v>9.08</v>
      </c>
      <c r="B129" s="96" t="s">
        <v>455</v>
      </c>
      <c r="C129" s="97" t="s">
        <v>542</v>
      </c>
    </row>
    <row r="130" spans="1:3" ht="24">
      <c r="A130" s="122">
        <v>9.09</v>
      </c>
      <c r="B130" s="96" t="s">
        <v>456</v>
      </c>
      <c r="C130" s="97" t="s">
        <v>543</v>
      </c>
    </row>
    <row r="131" spans="1:3">
      <c r="A131" s="123">
        <v>9.1</v>
      </c>
      <c r="B131" s="96" t="s">
        <v>457</v>
      </c>
      <c r="C131" s="97" t="s">
        <v>544</v>
      </c>
    </row>
    <row r="132" spans="1:3">
      <c r="A132" s="122">
        <v>9.11</v>
      </c>
      <c r="B132" s="96" t="s">
        <v>458</v>
      </c>
      <c r="C132" s="97" t="s">
        <v>545</v>
      </c>
    </row>
    <row r="133" spans="1:3">
      <c r="A133" s="122">
        <v>9.1199999999999992</v>
      </c>
      <c r="B133" s="96" t="s">
        <v>459</v>
      </c>
      <c r="C133" s="97" t="s">
        <v>546</v>
      </c>
    </row>
    <row r="134" spans="1:3">
      <c r="A134" s="122">
        <v>9.1300000000000008</v>
      </c>
      <c r="B134" s="96" t="s">
        <v>460</v>
      </c>
      <c r="C134" s="97" t="s">
        <v>547</v>
      </c>
    </row>
    <row r="135" spans="1:3">
      <c r="A135" s="122">
        <v>9.14</v>
      </c>
      <c r="B135" s="96" t="s">
        <v>461</v>
      </c>
      <c r="C135" s="97" t="s">
        <v>548</v>
      </c>
    </row>
    <row r="136" spans="1:3">
      <c r="A136" s="122">
        <v>9.15</v>
      </c>
      <c r="B136" s="96" t="s">
        <v>462</v>
      </c>
      <c r="C136" s="97" t="s">
        <v>549</v>
      </c>
    </row>
    <row r="137" spans="1:3">
      <c r="A137" s="122">
        <v>9.16</v>
      </c>
      <c r="B137" s="96" t="s">
        <v>463</v>
      </c>
      <c r="C137" s="97" t="s">
        <v>550</v>
      </c>
    </row>
    <row r="138" spans="1:3">
      <c r="A138" s="122">
        <v>9.17</v>
      </c>
      <c r="B138" s="97" t="s">
        <v>464</v>
      </c>
      <c r="C138" s="97" t="s">
        <v>551</v>
      </c>
    </row>
    <row r="139" spans="1:3" ht="24">
      <c r="A139" s="122">
        <v>9.18</v>
      </c>
      <c r="B139" s="96" t="s">
        <v>465</v>
      </c>
      <c r="C139" s="97" t="s">
        <v>552</v>
      </c>
    </row>
    <row r="140" spans="1:3">
      <c r="A140" s="122">
        <v>9.19</v>
      </c>
      <c r="B140" s="96" t="s">
        <v>466</v>
      </c>
      <c r="C140" s="97" t="s">
        <v>553</v>
      </c>
    </row>
    <row r="141" spans="1:3">
      <c r="A141" s="123">
        <v>9.1999999999999993</v>
      </c>
      <c r="B141" s="96" t="s">
        <v>467</v>
      </c>
      <c r="C141" s="97" t="s">
        <v>554</v>
      </c>
    </row>
    <row r="142" spans="1:3">
      <c r="A142" s="122">
        <v>9.2100000000000009</v>
      </c>
      <c r="B142" s="96" t="s">
        <v>468</v>
      </c>
      <c r="C142" s="97" t="s">
        <v>555</v>
      </c>
    </row>
    <row r="143" spans="1:3">
      <c r="A143" s="122">
        <v>9.2200000000000006</v>
      </c>
      <c r="B143" s="96" t="s">
        <v>469</v>
      </c>
      <c r="C143" s="97" t="s">
        <v>556</v>
      </c>
    </row>
    <row r="144" spans="1:3" ht="24">
      <c r="A144" s="122">
        <v>9.23</v>
      </c>
      <c r="B144" s="96" t="s">
        <v>470</v>
      </c>
      <c r="C144" s="97" t="s">
        <v>557</v>
      </c>
    </row>
    <row r="145" spans="1:3" ht="24">
      <c r="A145" s="122">
        <v>9.24</v>
      </c>
      <c r="B145" s="96" t="s">
        <v>471</v>
      </c>
      <c r="C145" s="97" t="s">
        <v>558</v>
      </c>
    </row>
    <row r="146" spans="1:3">
      <c r="A146" s="122">
        <v>9.2500000000000107</v>
      </c>
      <c r="B146" s="96" t="s">
        <v>472</v>
      </c>
      <c r="C146" s="97" t="s">
        <v>559</v>
      </c>
    </row>
    <row r="147" spans="1:3" ht="24">
      <c r="A147" s="122">
        <v>9.2600000000000193</v>
      </c>
      <c r="B147" s="96" t="s">
        <v>560</v>
      </c>
      <c r="C147" s="121" t="s">
        <v>561</v>
      </c>
    </row>
    <row r="148" spans="1:3" s="53" customFormat="1" ht="24">
      <c r="A148" s="122">
        <v>9.2700000000000298</v>
      </c>
      <c r="B148" s="96" t="s">
        <v>79</v>
      </c>
      <c r="C148" s="121" t="s">
        <v>610</v>
      </c>
    </row>
    <row r="149" spans="1:3" s="53" customFormat="1">
      <c r="A149" s="102"/>
      <c r="B149" s="909" t="s">
        <v>563</v>
      </c>
      <c r="C149" s="910"/>
    </row>
    <row r="150" spans="1:3" s="53" customFormat="1">
      <c r="A150" s="101">
        <v>1</v>
      </c>
      <c r="B150" s="905" t="s">
        <v>840</v>
      </c>
      <c r="C150" s="906"/>
    </row>
    <row r="151" spans="1:3" s="53" customFormat="1">
      <c r="A151" s="101">
        <v>2</v>
      </c>
      <c r="B151" s="905" t="s">
        <v>933</v>
      </c>
      <c r="C151" s="906"/>
    </row>
    <row r="152" spans="1:3" s="53" customFormat="1" ht="12" customHeight="1" thickBot="1">
      <c r="A152" s="101">
        <v>3</v>
      </c>
      <c r="B152" s="911" t="s">
        <v>608</v>
      </c>
      <c r="C152" s="912"/>
    </row>
    <row r="153" spans="1:3" s="53" customFormat="1" ht="12.6" thickTop="1">
      <c r="A153" s="102"/>
      <c r="B153" s="909" t="s">
        <v>564</v>
      </c>
      <c r="C153" s="910"/>
    </row>
    <row r="154" spans="1:3" s="53" customFormat="1">
      <c r="A154" s="101">
        <v>1</v>
      </c>
      <c r="B154" s="913" t="s">
        <v>839</v>
      </c>
      <c r="C154" s="914"/>
    </row>
    <row r="155" spans="1:3" s="53" customFormat="1">
      <c r="A155" s="101">
        <v>2</v>
      </c>
      <c r="B155" s="96" t="s">
        <v>777</v>
      </c>
      <c r="C155" s="137" t="s">
        <v>862</v>
      </c>
    </row>
    <row r="156" spans="1:3" ht="24">
      <c r="A156" s="101">
        <v>3</v>
      </c>
      <c r="B156" s="96" t="s">
        <v>776</v>
      </c>
      <c r="C156" s="119" t="s">
        <v>838</v>
      </c>
    </row>
    <row r="157" spans="1:3">
      <c r="A157" s="101">
        <v>4</v>
      </c>
      <c r="B157" s="96" t="s">
        <v>442</v>
      </c>
      <c r="C157" s="96" t="s">
        <v>855</v>
      </c>
    </row>
    <row r="158" spans="1:3" ht="25.05" customHeight="1">
      <c r="A158" s="102"/>
      <c r="B158" s="903" t="s">
        <v>565</v>
      </c>
      <c r="C158" s="904"/>
    </row>
    <row r="159" spans="1:3" ht="36">
      <c r="A159" s="101"/>
      <c r="B159" s="96" t="s">
        <v>828</v>
      </c>
      <c r="C159" s="138" t="s">
        <v>863</v>
      </c>
    </row>
    <row r="160" spans="1:3">
      <c r="A160" s="102"/>
      <c r="B160" s="903" t="s">
        <v>566</v>
      </c>
      <c r="C160" s="904"/>
    </row>
    <row r="161" spans="1:3" ht="39" customHeight="1">
      <c r="A161" s="102"/>
      <c r="B161" s="905" t="s">
        <v>837</v>
      </c>
      <c r="C161" s="906"/>
    </row>
    <row r="162" spans="1:3">
      <c r="A162" s="102" t="s">
        <v>567</v>
      </c>
      <c r="B162" s="120" t="s">
        <v>480</v>
      </c>
      <c r="C162" s="113" t="s">
        <v>568</v>
      </c>
    </row>
    <row r="163" spans="1:3">
      <c r="A163" s="102" t="s">
        <v>323</v>
      </c>
      <c r="B163" s="117" t="s">
        <v>481</v>
      </c>
      <c r="C163" s="119" t="s">
        <v>836</v>
      </c>
    </row>
    <row r="164" spans="1:3" ht="24">
      <c r="A164" s="102" t="s">
        <v>328</v>
      </c>
      <c r="B164" s="113" t="s">
        <v>482</v>
      </c>
      <c r="C164" s="119" t="s">
        <v>569</v>
      </c>
    </row>
    <row r="165" spans="1:3">
      <c r="A165" s="102" t="s">
        <v>570</v>
      </c>
      <c r="B165" s="117" t="s">
        <v>483</v>
      </c>
      <c r="C165" s="118" t="s">
        <v>571</v>
      </c>
    </row>
    <row r="166" spans="1:3" ht="24">
      <c r="A166" s="102" t="s">
        <v>572</v>
      </c>
      <c r="B166" s="117" t="s">
        <v>792</v>
      </c>
      <c r="C166" s="112" t="s">
        <v>835</v>
      </c>
    </row>
    <row r="167" spans="1:3" ht="24">
      <c r="A167" s="102" t="s">
        <v>329</v>
      </c>
      <c r="B167" s="117" t="s">
        <v>484</v>
      </c>
      <c r="C167" s="112" t="s">
        <v>574</v>
      </c>
    </row>
    <row r="168" spans="1:3" ht="24">
      <c r="A168" s="102" t="s">
        <v>573</v>
      </c>
      <c r="B168" s="115" t="s">
        <v>487</v>
      </c>
      <c r="C168" s="116" t="s">
        <v>581</v>
      </c>
    </row>
    <row r="169" spans="1:3" ht="24">
      <c r="A169" s="102" t="s">
        <v>575</v>
      </c>
      <c r="B169" s="115" t="s">
        <v>485</v>
      </c>
      <c r="C169" s="112" t="s">
        <v>577</v>
      </c>
    </row>
    <row r="170" spans="1:3" ht="26.55" customHeight="1">
      <c r="A170" s="102" t="s">
        <v>576</v>
      </c>
      <c r="B170" s="115" t="s">
        <v>486</v>
      </c>
      <c r="C170" s="116" t="s">
        <v>579</v>
      </c>
    </row>
    <row r="171" spans="1:3" ht="24">
      <c r="A171" s="102" t="s">
        <v>578</v>
      </c>
      <c r="B171" s="97" t="s">
        <v>488</v>
      </c>
      <c r="C171" s="116" t="s">
        <v>583</v>
      </c>
    </row>
    <row r="172" spans="1:3" ht="24">
      <c r="A172" s="102" t="s">
        <v>580</v>
      </c>
      <c r="B172" s="115" t="s">
        <v>489</v>
      </c>
      <c r="C172" s="150" t="s">
        <v>584</v>
      </c>
    </row>
    <row r="173" spans="1:3">
      <c r="A173" s="102" t="s">
        <v>582</v>
      </c>
      <c r="B173" s="114" t="s">
        <v>490</v>
      </c>
      <c r="C173" s="113" t="s">
        <v>585</v>
      </c>
    </row>
    <row r="174" spans="1:3" ht="24">
      <c r="A174" s="102"/>
      <c r="B174" s="112" t="s">
        <v>834</v>
      </c>
      <c r="C174" s="97" t="s">
        <v>586</v>
      </c>
    </row>
    <row r="175" spans="1:3" ht="24">
      <c r="A175" s="102"/>
      <c r="B175" s="112" t="s">
        <v>833</v>
      </c>
      <c r="C175" s="97" t="s">
        <v>587</v>
      </c>
    </row>
    <row r="176" spans="1:3" ht="24">
      <c r="A176" s="102"/>
      <c r="B176" s="112" t="s">
        <v>832</v>
      </c>
      <c r="C176" s="97" t="s">
        <v>588</v>
      </c>
    </row>
    <row r="177" spans="1:3">
      <c r="A177" s="102"/>
      <c r="B177" s="909" t="s">
        <v>589</v>
      </c>
      <c r="C177" s="910"/>
    </row>
    <row r="178" spans="1:3">
      <c r="A178" s="102"/>
      <c r="B178" s="905" t="s">
        <v>934</v>
      </c>
      <c r="C178" s="906"/>
    </row>
    <row r="179" spans="1:3">
      <c r="A179" s="101">
        <v>1</v>
      </c>
      <c r="B179" s="97" t="s">
        <v>494</v>
      </c>
      <c r="C179" s="97" t="s">
        <v>494</v>
      </c>
    </row>
    <row r="180" spans="1:3" ht="24">
      <c r="A180" s="101">
        <v>2</v>
      </c>
      <c r="B180" s="97" t="s">
        <v>590</v>
      </c>
      <c r="C180" s="97" t="s">
        <v>591</v>
      </c>
    </row>
    <row r="181" spans="1:3">
      <c r="A181" s="101">
        <v>3</v>
      </c>
      <c r="B181" s="97" t="s">
        <v>496</v>
      </c>
      <c r="C181" s="97" t="s">
        <v>935</v>
      </c>
    </row>
    <row r="182" spans="1:3" ht="24">
      <c r="A182" s="101">
        <v>4</v>
      </c>
      <c r="B182" s="97" t="s">
        <v>497</v>
      </c>
      <c r="C182" s="97" t="s">
        <v>592</v>
      </c>
    </row>
    <row r="183" spans="1:3" ht="24">
      <c r="A183" s="101">
        <v>5</v>
      </c>
      <c r="B183" s="97" t="s">
        <v>498</v>
      </c>
      <c r="C183" s="97" t="s">
        <v>611</v>
      </c>
    </row>
    <row r="184" spans="1:3" ht="48">
      <c r="A184" s="101">
        <v>6</v>
      </c>
      <c r="B184" s="97" t="s">
        <v>499</v>
      </c>
      <c r="C184" s="97" t="s">
        <v>593</v>
      </c>
    </row>
    <row r="185" spans="1:3">
      <c r="A185" s="102"/>
      <c r="B185" s="909" t="s">
        <v>594</v>
      </c>
      <c r="C185" s="910"/>
    </row>
    <row r="186" spans="1:3">
      <c r="A186" s="102"/>
      <c r="B186" s="916" t="s">
        <v>831</v>
      </c>
      <c r="C186" s="913"/>
    </row>
    <row r="187" spans="1:3" ht="24">
      <c r="A187" s="102">
        <v>1.1000000000000001</v>
      </c>
      <c r="B187" s="111" t="s">
        <v>504</v>
      </c>
      <c r="C187" s="97" t="s">
        <v>595</v>
      </c>
    </row>
    <row r="188" spans="1:3" s="159" customFormat="1">
      <c r="A188" s="157" t="s">
        <v>129</v>
      </c>
      <c r="B188" s="158" t="s">
        <v>505</v>
      </c>
      <c r="C188" s="113" t="s">
        <v>596</v>
      </c>
    </row>
    <row r="189" spans="1:3">
      <c r="A189" s="102" t="s">
        <v>506</v>
      </c>
      <c r="B189" s="110" t="s">
        <v>507</v>
      </c>
      <c r="C189" s="917" t="s">
        <v>830</v>
      </c>
    </row>
    <row r="190" spans="1:3">
      <c r="A190" s="102" t="s">
        <v>508</v>
      </c>
      <c r="B190" s="110" t="s">
        <v>509</v>
      </c>
      <c r="C190" s="917"/>
    </row>
    <row r="191" spans="1:3">
      <c r="A191" s="102" t="s">
        <v>510</v>
      </c>
      <c r="B191" s="110" t="s">
        <v>511</v>
      </c>
      <c r="C191" s="917"/>
    </row>
    <row r="192" spans="1:3">
      <c r="A192" s="102" t="s">
        <v>512</v>
      </c>
      <c r="B192" s="110" t="s">
        <v>513</v>
      </c>
      <c r="C192" s="917"/>
    </row>
    <row r="193" spans="1:4" ht="25.5" customHeight="1">
      <c r="A193" s="102">
        <v>1.2</v>
      </c>
      <c r="B193" s="109" t="s">
        <v>806</v>
      </c>
      <c r="C193" s="96" t="s">
        <v>864</v>
      </c>
    </row>
    <row r="194" spans="1:4" ht="24">
      <c r="A194" s="102" t="s">
        <v>515</v>
      </c>
      <c r="B194" s="104" t="s">
        <v>516</v>
      </c>
      <c r="C194" s="107" t="s">
        <v>597</v>
      </c>
    </row>
    <row r="195" spans="1:4" ht="24">
      <c r="A195" s="102" t="s">
        <v>517</v>
      </c>
      <c r="B195" s="108" t="s">
        <v>518</v>
      </c>
      <c r="C195" s="107" t="s">
        <v>598</v>
      </c>
    </row>
    <row r="196" spans="1:4" ht="25.95" customHeight="1">
      <c r="A196" s="102" t="s">
        <v>519</v>
      </c>
      <c r="B196" s="106" t="s">
        <v>520</v>
      </c>
      <c r="C196" s="96" t="s">
        <v>599</v>
      </c>
    </row>
    <row r="197" spans="1:4" ht="24">
      <c r="A197" s="102" t="s">
        <v>521</v>
      </c>
      <c r="B197" s="105" t="s">
        <v>522</v>
      </c>
      <c r="C197" s="96" t="s">
        <v>600</v>
      </c>
      <c r="D197" s="54"/>
    </row>
    <row r="198" spans="1:4" ht="12.6">
      <c r="A198" s="102">
        <v>1.4</v>
      </c>
      <c r="B198" s="104" t="s">
        <v>607</v>
      </c>
      <c r="C198" s="103" t="s">
        <v>601</v>
      </c>
      <c r="D198" s="55"/>
    </row>
    <row r="199" spans="1:4" ht="24">
      <c r="A199" s="102">
        <v>1.5</v>
      </c>
      <c r="B199" s="104" t="s">
        <v>914</v>
      </c>
      <c r="C199" s="103" t="s">
        <v>601</v>
      </c>
      <c r="D199" s="56"/>
    </row>
    <row r="200" spans="1:4" ht="12.6">
      <c r="A200" s="102"/>
      <c r="B200" s="918" t="s">
        <v>602</v>
      </c>
      <c r="C200" s="918"/>
      <c r="D200" s="56"/>
    </row>
    <row r="201" spans="1:4" ht="12.6">
      <c r="A201" s="102"/>
      <c r="B201" s="916" t="s">
        <v>829</v>
      </c>
      <c r="C201" s="916"/>
      <c r="D201" s="56"/>
    </row>
    <row r="202" spans="1:4" ht="12.6">
      <c r="A202" s="101"/>
      <c r="B202" s="96" t="s">
        <v>828</v>
      </c>
      <c r="C202" s="151" t="s">
        <v>862</v>
      </c>
      <c r="D202" s="56"/>
    </row>
    <row r="203" spans="1:4" ht="12.6">
      <c r="A203" s="102"/>
      <c r="B203" s="918" t="s">
        <v>603</v>
      </c>
      <c r="C203" s="918"/>
      <c r="D203" s="57"/>
    </row>
    <row r="204" spans="1:4" ht="12.6">
      <c r="A204" s="101"/>
      <c r="B204" s="916" t="s">
        <v>827</v>
      </c>
      <c r="C204" s="916"/>
      <c r="D204" s="58"/>
    </row>
    <row r="205" spans="1:4" ht="12.6">
      <c r="B205" s="918" t="s">
        <v>636</v>
      </c>
      <c r="C205" s="918"/>
      <c r="D205" s="59"/>
    </row>
    <row r="206" spans="1:4" ht="24">
      <c r="A206" s="98">
        <v>1</v>
      </c>
      <c r="B206" s="96" t="s">
        <v>613</v>
      </c>
      <c r="C206" s="96" t="s">
        <v>625</v>
      </c>
      <c r="D206" s="58"/>
    </row>
    <row r="207" spans="1:4" ht="18" customHeight="1">
      <c r="A207" s="98">
        <v>2</v>
      </c>
      <c r="B207" s="96" t="s">
        <v>614</v>
      </c>
      <c r="C207" s="96" t="s">
        <v>626</v>
      </c>
      <c r="D207" s="59"/>
    </row>
    <row r="208" spans="1:4" ht="24">
      <c r="A208" s="98">
        <v>3</v>
      </c>
      <c r="B208" s="96" t="s">
        <v>615</v>
      </c>
      <c r="C208" s="96" t="s">
        <v>627</v>
      </c>
      <c r="D208" s="60"/>
    </row>
    <row r="209" spans="1:4" ht="12.6">
      <c r="A209" s="98">
        <v>4</v>
      </c>
      <c r="B209" s="96" t="s">
        <v>616</v>
      </c>
      <c r="C209" s="96" t="s">
        <v>628</v>
      </c>
      <c r="D209" s="60"/>
    </row>
    <row r="210" spans="1:4" ht="24">
      <c r="A210" s="98">
        <v>5</v>
      </c>
      <c r="B210" s="96" t="s">
        <v>617</v>
      </c>
      <c r="C210" s="96" t="s">
        <v>629</v>
      </c>
    </row>
    <row r="211" spans="1:4" ht="24.45" customHeight="1">
      <c r="A211" s="98">
        <v>6</v>
      </c>
      <c r="B211" s="96" t="s">
        <v>618</v>
      </c>
      <c r="C211" s="96" t="s">
        <v>630</v>
      </c>
    </row>
    <row r="212" spans="1:4" ht="24">
      <c r="A212" s="98">
        <v>7</v>
      </c>
      <c r="B212" s="96" t="s">
        <v>619</v>
      </c>
      <c r="C212" s="96" t="s">
        <v>936</v>
      </c>
    </row>
    <row r="213" spans="1:4">
      <c r="A213" s="98">
        <v>7.1</v>
      </c>
      <c r="B213" s="100" t="s">
        <v>620</v>
      </c>
      <c r="C213" s="96" t="s">
        <v>631</v>
      </c>
    </row>
    <row r="214" spans="1:4">
      <c r="A214" s="98">
        <v>7.2</v>
      </c>
      <c r="B214" s="100" t="s">
        <v>621</v>
      </c>
      <c r="C214" s="96" t="s">
        <v>632</v>
      </c>
    </row>
    <row r="215" spans="1:4">
      <c r="A215" s="98">
        <v>7.3</v>
      </c>
      <c r="B215" s="99" t="s">
        <v>622</v>
      </c>
      <c r="C215" s="96" t="s">
        <v>633</v>
      </c>
    </row>
    <row r="216" spans="1:4" ht="39.450000000000003" customHeight="1">
      <c r="A216" s="98">
        <v>8</v>
      </c>
      <c r="B216" s="96" t="s">
        <v>623</v>
      </c>
      <c r="C216" s="96" t="s">
        <v>634</v>
      </c>
    </row>
    <row r="217" spans="1:4">
      <c r="A217" s="98">
        <v>9</v>
      </c>
      <c r="B217" s="96" t="s">
        <v>624</v>
      </c>
      <c r="C217" s="96" t="s">
        <v>635</v>
      </c>
    </row>
    <row r="218" spans="1:4" ht="24">
      <c r="A218" s="132">
        <v>10.1</v>
      </c>
      <c r="B218" s="133" t="s">
        <v>643</v>
      </c>
      <c r="C218" s="125" t="s">
        <v>644</v>
      </c>
    </row>
    <row r="219" spans="1:4">
      <c r="A219" s="919"/>
      <c r="B219" s="134" t="s">
        <v>819</v>
      </c>
      <c r="C219" s="96" t="s">
        <v>826</v>
      </c>
    </row>
    <row r="220" spans="1:4">
      <c r="A220" s="919"/>
      <c r="B220" s="97" t="s">
        <v>503</v>
      </c>
      <c r="C220" s="96" t="s">
        <v>825</v>
      </c>
    </row>
    <row r="221" spans="1:4">
      <c r="A221" s="919"/>
      <c r="B221" s="97" t="s">
        <v>818</v>
      </c>
      <c r="C221" s="96" t="s">
        <v>937</v>
      </c>
    </row>
    <row r="222" spans="1:4">
      <c r="A222" s="919"/>
      <c r="B222" s="97" t="s">
        <v>637</v>
      </c>
      <c r="C222" s="96" t="s">
        <v>824</v>
      </c>
    </row>
    <row r="223" spans="1:4" ht="24">
      <c r="A223" s="919"/>
      <c r="B223" s="97" t="s">
        <v>641</v>
      </c>
      <c r="C223" s="97" t="s">
        <v>823</v>
      </c>
    </row>
    <row r="224" spans="1:4" ht="36">
      <c r="A224" s="919"/>
      <c r="B224" s="97" t="s">
        <v>640</v>
      </c>
      <c r="C224" s="96" t="s">
        <v>822</v>
      </c>
    </row>
    <row r="225" spans="1:3">
      <c r="A225" s="919"/>
      <c r="B225" s="97" t="s">
        <v>856</v>
      </c>
      <c r="C225" s="96" t="s">
        <v>821</v>
      </c>
    </row>
    <row r="226" spans="1:3" ht="24">
      <c r="A226" s="919"/>
      <c r="B226" s="97" t="s">
        <v>857</v>
      </c>
      <c r="C226" s="96" t="s">
        <v>820</v>
      </c>
    </row>
    <row r="227" spans="1:3" ht="12.6">
      <c r="A227" s="126"/>
      <c r="B227" s="127"/>
      <c r="C227" s="128"/>
    </row>
    <row r="228" spans="1:3" ht="12.6">
      <c r="A228" s="126"/>
      <c r="B228" s="128"/>
      <c r="C228" s="128"/>
    </row>
    <row r="229" spans="1:3" ht="12.6">
      <c r="A229" s="126"/>
      <c r="B229" s="128"/>
      <c r="C229" s="128"/>
    </row>
    <row r="230" spans="1:3" ht="12.6">
      <c r="A230" s="126"/>
      <c r="B230" s="129"/>
      <c r="C230" s="128"/>
    </row>
    <row r="231" spans="1:3">
      <c r="A231" s="915"/>
      <c r="B231" s="130"/>
      <c r="C231" s="128"/>
    </row>
    <row r="232" spans="1:3">
      <c r="A232" s="915"/>
      <c r="B232" s="130"/>
      <c r="C232" s="128"/>
    </row>
    <row r="233" spans="1:3">
      <c r="A233" s="915"/>
      <c r="B233" s="130"/>
      <c r="C233" s="128"/>
    </row>
    <row r="234" spans="1:3">
      <c r="A234" s="915"/>
      <c r="B234" s="130"/>
      <c r="C234" s="131"/>
    </row>
    <row r="235" spans="1:3" ht="40.5" customHeight="1">
      <c r="A235" s="915"/>
      <c r="B235" s="130"/>
      <c r="C235" s="128"/>
    </row>
    <row r="236" spans="1:3" ht="24" customHeight="1">
      <c r="A236" s="915"/>
      <c r="B236" s="130"/>
      <c r="C236" s="128"/>
    </row>
    <row r="237" spans="1:3">
      <c r="A237" s="915"/>
      <c r="B237" s="130"/>
      <c r="C237" s="128"/>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70" zoomScaleNormal="70" workbookViewId="0">
      <pane xSplit="2" ySplit="5" topLeftCell="C28" activePane="bottomRight" state="frozen"/>
      <selection activeCell="C46" sqref="C46"/>
      <selection pane="topRight" activeCell="C46" sqref="C46"/>
      <selection pane="bottomLeft" activeCell="C46" sqref="C46"/>
      <selection pane="bottomRight" activeCell="C6" sqref="C6:E45"/>
    </sheetView>
  </sheetViews>
  <sheetFormatPr defaultRowHeight="13.8"/>
  <cols>
    <col min="1" max="1" width="14.21875" style="9" customWidth="1"/>
    <col min="2" max="2" width="66.6640625" style="9" customWidth="1"/>
    <col min="3" max="8" width="17.77734375" style="9" customWidth="1"/>
    <col min="9" max="9" width="8.88671875" style="345"/>
    <col min="10" max="10" width="12.44140625" style="345" bestFit="1" customWidth="1"/>
    <col min="11" max="11" width="6.77734375" style="345" bestFit="1" customWidth="1"/>
    <col min="12" max="16384" width="8.88671875" style="345"/>
  </cols>
  <sheetData>
    <row r="1" spans="1:8">
      <c r="A1" s="342" t="s">
        <v>869</v>
      </c>
      <c r="B1" s="344" t="str">
        <f>Info!C2</f>
        <v>კრისტალი</v>
      </c>
      <c r="C1" s="341"/>
    </row>
    <row r="2" spans="1:8">
      <c r="A2" s="342" t="s">
        <v>88</v>
      </c>
      <c r="B2" s="343">
        <f>'1. key ratios'!B2</f>
        <v>46022</v>
      </c>
      <c r="C2" s="341"/>
    </row>
    <row r="3" spans="1:8">
      <c r="A3" s="340"/>
      <c r="B3" s="341"/>
      <c r="C3" s="341"/>
    </row>
    <row r="4" spans="1:8">
      <c r="A4" s="794" t="s">
        <v>25</v>
      </c>
      <c r="B4" s="795" t="s">
        <v>134</v>
      </c>
      <c r="C4" s="793" t="s">
        <v>93</v>
      </c>
      <c r="D4" s="793"/>
      <c r="E4" s="793"/>
      <c r="F4" s="793" t="s">
        <v>94</v>
      </c>
      <c r="G4" s="793"/>
      <c r="H4" s="793"/>
    </row>
    <row r="5" spans="1:8" ht="15.45" customHeight="1">
      <c r="A5" s="794"/>
      <c r="B5" s="795"/>
      <c r="C5" s="361" t="s">
        <v>26</v>
      </c>
      <c r="D5" s="361" t="s">
        <v>70</v>
      </c>
      <c r="E5" s="361" t="s">
        <v>59</v>
      </c>
      <c r="F5" s="361" t="s">
        <v>26</v>
      </c>
      <c r="G5" s="361" t="s">
        <v>70</v>
      </c>
      <c r="H5" s="361" t="s">
        <v>59</v>
      </c>
    </row>
    <row r="6" spans="1:8">
      <c r="A6" s="359">
        <v>1</v>
      </c>
      <c r="B6" s="346" t="s">
        <v>698</v>
      </c>
      <c r="C6" s="741">
        <v>168656144.18076682</v>
      </c>
      <c r="D6" s="741">
        <v>113599.07799999999</v>
      </c>
      <c r="E6" s="362">
        <v>168769743.25876683</v>
      </c>
      <c r="F6" s="358">
        <f>SUM(F7:F12)</f>
        <v>0</v>
      </c>
      <c r="G6" s="358">
        <f>SUM(G7:G12)</f>
        <v>0</v>
      </c>
      <c r="H6" s="362">
        <f>F6+G6</f>
        <v>0</v>
      </c>
    </row>
    <row r="7" spans="1:8">
      <c r="A7" s="359">
        <v>1.1000000000000001</v>
      </c>
      <c r="B7" s="349" t="s">
        <v>652</v>
      </c>
      <c r="C7" s="741">
        <v>0</v>
      </c>
      <c r="D7" s="741"/>
      <c r="E7" s="362">
        <v>0</v>
      </c>
      <c r="F7" s="358"/>
      <c r="G7" s="358"/>
      <c r="H7" s="362">
        <f t="shared" ref="H7:H44" si="0">F7+G7</f>
        <v>0</v>
      </c>
    </row>
    <row r="8" spans="1:8" ht="27.6">
      <c r="A8" s="359">
        <v>1.2</v>
      </c>
      <c r="B8" s="349" t="s">
        <v>699</v>
      </c>
      <c r="C8" s="741">
        <v>0</v>
      </c>
      <c r="D8" s="741"/>
      <c r="E8" s="362">
        <v>0</v>
      </c>
      <c r="F8" s="358"/>
      <c r="G8" s="358"/>
      <c r="H8" s="362">
        <f t="shared" si="0"/>
        <v>0</v>
      </c>
    </row>
    <row r="9" spans="1:8" ht="21.45" customHeight="1">
      <c r="A9" s="359">
        <v>1.3</v>
      </c>
      <c r="B9" s="349" t="s">
        <v>700</v>
      </c>
      <c r="C9" s="741">
        <v>0</v>
      </c>
      <c r="D9" s="741"/>
      <c r="E9" s="362">
        <v>0</v>
      </c>
      <c r="F9" s="358"/>
      <c r="G9" s="358"/>
      <c r="H9" s="362">
        <f t="shared" si="0"/>
        <v>0</v>
      </c>
    </row>
    <row r="10" spans="1:8" ht="27.6">
      <c r="A10" s="359">
        <v>1.4</v>
      </c>
      <c r="B10" s="349" t="s">
        <v>656</v>
      </c>
      <c r="C10" s="741">
        <v>0</v>
      </c>
      <c r="D10" s="741"/>
      <c r="E10" s="362">
        <v>0</v>
      </c>
      <c r="F10" s="358"/>
      <c r="G10" s="358"/>
      <c r="H10" s="362">
        <f t="shared" si="0"/>
        <v>0</v>
      </c>
    </row>
    <row r="11" spans="1:8">
      <c r="A11" s="359">
        <v>1.5</v>
      </c>
      <c r="B11" s="349" t="s">
        <v>659</v>
      </c>
      <c r="C11" s="741">
        <v>168656144.18076682</v>
      </c>
      <c r="D11" s="741">
        <v>113599.07799999999</v>
      </c>
      <c r="E11" s="362">
        <v>168769743.25876683</v>
      </c>
      <c r="F11" s="358"/>
      <c r="G11" s="358"/>
      <c r="H11" s="362">
        <f t="shared" si="0"/>
        <v>0</v>
      </c>
    </row>
    <row r="12" spans="1:8">
      <c r="A12" s="359">
        <v>1.6</v>
      </c>
      <c r="B12" s="349" t="s">
        <v>79</v>
      </c>
      <c r="C12" s="741">
        <v>0</v>
      </c>
      <c r="D12" s="741"/>
      <c r="E12" s="362">
        <v>0</v>
      </c>
      <c r="F12" s="358"/>
      <c r="G12" s="358"/>
      <c r="H12" s="362">
        <f t="shared" si="0"/>
        <v>0</v>
      </c>
    </row>
    <row r="13" spans="1:8">
      <c r="A13" s="359">
        <v>2</v>
      </c>
      <c r="B13" s="346" t="s">
        <v>701</v>
      </c>
      <c r="C13" s="741">
        <v>-30000782.349000011</v>
      </c>
      <c r="D13" s="741">
        <v>-21581197.417644065</v>
      </c>
      <c r="E13" s="362">
        <v>-51581979.766644076</v>
      </c>
      <c r="F13" s="358">
        <f>SUM(F14:F17)</f>
        <v>0</v>
      </c>
      <c r="G13" s="358">
        <f>SUM(G14:G17)</f>
        <v>0</v>
      </c>
      <c r="H13" s="362">
        <f t="shared" si="0"/>
        <v>0</v>
      </c>
    </row>
    <row r="14" spans="1:8">
      <c r="A14" s="359">
        <v>2.1</v>
      </c>
      <c r="B14" s="349" t="s">
        <v>702</v>
      </c>
      <c r="C14" s="741">
        <v>0</v>
      </c>
      <c r="D14" s="741"/>
      <c r="E14" s="362">
        <v>0</v>
      </c>
      <c r="F14" s="358"/>
      <c r="G14" s="358"/>
      <c r="H14" s="362">
        <f t="shared" si="0"/>
        <v>0</v>
      </c>
    </row>
    <row r="15" spans="1:8" ht="24.45" customHeight="1">
      <c r="A15" s="359">
        <v>2.2000000000000002</v>
      </c>
      <c r="B15" s="349" t="s">
        <v>703</v>
      </c>
      <c r="C15" s="741">
        <v>0</v>
      </c>
      <c r="D15" s="741"/>
      <c r="E15" s="362">
        <v>0</v>
      </c>
      <c r="F15" s="358"/>
      <c r="G15" s="358"/>
      <c r="H15" s="362">
        <f t="shared" si="0"/>
        <v>0</v>
      </c>
    </row>
    <row r="16" spans="1:8" ht="20.55" customHeight="1">
      <c r="A16" s="359">
        <v>2.2999999999999998</v>
      </c>
      <c r="B16" s="349" t="s">
        <v>704</v>
      </c>
      <c r="C16" s="741">
        <v>-29735241.443300009</v>
      </c>
      <c r="D16" s="741">
        <v>-20803844.836699996</v>
      </c>
      <c r="E16" s="362">
        <v>-50539086.280000001</v>
      </c>
      <c r="F16" s="358"/>
      <c r="G16" s="358"/>
      <c r="H16" s="362">
        <f t="shared" si="0"/>
        <v>0</v>
      </c>
    </row>
    <row r="17" spans="1:8">
      <c r="A17" s="359">
        <v>2.4</v>
      </c>
      <c r="B17" s="349" t="s">
        <v>705</v>
      </c>
      <c r="C17" s="741">
        <v>-265540.90570000024</v>
      </c>
      <c r="D17" s="741">
        <v>-777352.58094406791</v>
      </c>
      <c r="E17" s="362">
        <v>-1042893.4866440682</v>
      </c>
      <c r="F17" s="358"/>
      <c r="G17" s="358"/>
      <c r="H17" s="362">
        <f t="shared" si="0"/>
        <v>0</v>
      </c>
    </row>
    <row r="18" spans="1:8">
      <c r="A18" s="359">
        <v>3</v>
      </c>
      <c r="B18" s="346" t="s">
        <v>706</v>
      </c>
      <c r="C18" s="741">
        <v>0</v>
      </c>
      <c r="D18" s="741"/>
      <c r="E18" s="362">
        <v>0</v>
      </c>
      <c r="F18" s="358"/>
      <c r="G18" s="358"/>
      <c r="H18" s="362">
        <f t="shared" si="0"/>
        <v>0</v>
      </c>
    </row>
    <row r="19" spans="1:8">
      <c r="A19" s="359">
        <v>4</v>
      </c>
      <c r="B19" s="346" t="s">
        <v>707</v>
      </c>
      <c r="C19" s="741">
        <v>1955307.8315000006</v>
      </c>
      <c r="D19" s="741">
        <v>286699.28850000002</v>
      </c>
      <c r="E19" s="362">
        <v>2242007.1200000006</v>
      </c>
      <c r="F19" s="358"/>
      <c r="G19" s="358"/>
      <c r="H19" s="362">
        <f t="shared" si="0"/>
        <v>0</v>
      </c>
    </row>
    <row r="20" spans="1:8">
      <c r="A20" s="359">
        <v>5</v>
      </c>
      <c r="B20" s="346" t="s">
        <v>708</v>
      </c>
      <c r="C20" s="741">
        <v>-180521.42</v>
      </c>
      <c r="D20" s="741">
        <v>0</v>
      </c>
      <c r="E20" s="362">
        <v>-180521.42</v>
      </c>
      <c r="F20" s="358"/>
      <c r="G20" s="358"/>
      <c r="H20" s="362">
        <f t="shared" si="0"/>
        <v>0</v>
      </c>
    </row>
    <row r="21" spans="1:8" ht="38.549999999999997" customHeight="1">
      <c r="A21" s="359">
        <v>6</v>
      </c>
      <c r="B21" s="346" t="s">
        <v>709</v>
      </c>
      <c r="C21" s="741">
        <v>0</v>
      </c>
      <c r="D21" s="741"/>
      <c r="E21" s="362">
        <v>0</v>
      </c>
      <c r="F21" s="358"/>
      <c r="G21" s="358"/>
      <c r="H21" s="362">
        <f t="shared" si="0"/>
        <v>0</v>
      </c>
    </row>
    <row r="22" spans="1:8" ht="27.45" customHeight="1">
      <c r="A22" s="359">
        <v>7</v>
      </c>
      <c r="B22" s="346" t="s">
        <v>710</v>
      </c>
      <c r="C22" s="741">
        <v>0</v>
      </c>
      <c r="D22" s="741"/>
      <c r="E22" s="362">
        <v>0</v>
      </c>
      <c r="F22" s="358"/>
      <c r="G22" s="358"/>
      <c r="H22" s="362">
        <f t="shared" si="0"/>
        <v>0</v>
      </c>
    </row>
    <row r="23" spans="1:8" ht="37.049999999999997" customHeight="1">
      <c r="A23" s="359">
        <v>8</v>
      </c>
      <c r="B23" s="350" t="s">
        <v>711</v>
      </c>
      <c r="C23" s="741">
        <v>0</v>
      </c>
      <c r="D23" s="741"/>
      <c r="E23" s="362">
        <v>0</v>
      </c>
      <c r="F23" s="358"/>
      <c r="G23" s="358"/>
      <c r="H23" s="362">
        <f t="shared" si="0"/>
        <v>0</v>
      </c>
    </row>
    <row r="24" spans="1:8" ht="34.5" customHeight="1">
      <c r="A24" s="359">
        <v>9</v>
      </c>
      <c r="B24" s="350" t="s">
        <v>712</v>
      </c>
      <c r="C24" s="741">
        <v>-14506995.219999999</v>
      </c>
      <c r="D24" s="741">
        <v>0</v>
      </c>
      <c r="E24" s="362">
        <v>-14506995.219999999</v>
      </c>
      <c r="F24" s="358"/>
      <c r="G24" s="358"/>
      <c r="H24" s="362">
        <f t="shared" si="0"/>
        <v>0</v>
      </c>
    </row>
    <row r="25" spans="1:8">
      <c r="A25" s="359">
        <v>10</v>
      </c>
      <c r="B25" s="346" t="s">
        <v>713</v>
      </c>
      <c r="C25" s="741">
        <v>6496263.3999999966</v>
      </c>
      <c r="D25" s="741">
        <v>0</v>
      </c>
      <c r="E25" s="362">
        <v>6496263.3999999966</v>
      </c>
      <c r="F25" s="358"/>
      <c r="G25" s="358"/>
      <c r="H25" s="362">
        <f t="shared" si="0"/>
        <v>0</v>
      </c>
    </row>
    <row r="26" spans="1:8" ht="27" customHeight="1">
      <c r="A26" s="359">
        <v>11</v>
      </c>
      <c r="B26" s="351" t="s">
        <v>714</v>
      </c>
      <c r="C26" s="741">
        <v>-499703.96</v>
      </c>
      <c r="D26" s="741">
        <v>0</v>
      </c>
      <c r="E26" s="362">
        <v>-499703.96</v>
      </c>
      <c r="F26" s="358"/>
      <c r="G26" s="358"/>
      <c r="H26" s="362">
        <f t="shared" si="0"/>
        <v>0</v>
      </c>
    </row>
    <row r="27" spans="1:8">
      <c r="A27" s="359">
        <v>12</v>
      </c>
      <c r="B27" s="346" t="s">
        <v>715</v>
      </c>
      <c r="C27" s="741">
        <v>18408938.871800002</v>
      </c>
      <c r="D27" s="741">
        <v>460479.94819999998</v>
      </c>
      <c r="E27" s="362">
        <v>18869418.82</v>
      </c>
      <c r="F27" s="358"/>
      <c r="G27" s="358"/>
      <c r="H27" s="362">
        <f t="shared" si="0"/>
        <v>0</v>
      </c>
    </row>
    <row r="28" spans="1:8">
      <c r="A28" s="359">
        <v>13</v>
      </c>
      <c r="B28" s="346" t="s">
        <v>716</v>
      </c>
      <c r="C28" s="741">
        <v>-22566822.489999998</v>
      </c>
      <c r="D28" s="741">
        <v>0</v>
      </c>
      <c r="E28" s="362">
        <v>-22566822.489999998</v>
      </c>
      <c r="F28" s="358"/>
      <c r="G28" s="358"/>
      <c r="H28" s="362">
        <f t="shared" si="0"/>
        <v>0</v>
      </c>
    </row>
    <row r="29" spans="1:8">
      <c r="A29" s="359">
        <v>14</v>
      </c>
      <c r="B29" s="346" t="s">
        <v>717</v>
      </c>
      <c r="C29" s="741">
        <v>-57176794.793920979</v>
      </c>
      <c r="D29" s="741">
        <v>-1702460.3385000001</v>
      </c>
      <c r="E29" s="362">
        <v>-58879255.132420979</v>
      </c>
      <c r="F29" s="358">
        <f>SUM(F30:F31)</f>
        <v>0</v>
      </c>
      <c r="G29" s="358">
        <f>SUM(G30:G31)</f>
        <v>0</v>
      </c>
      <c r="H29" s="362">
        <f t="shared" si="0"/>
        <v>0</v>
      </c>
    </row>
    <row r="30" spans="1:8">
      <c r="A30" s="359">
        <v>14.1</v>
      </c>
      <c r="B30" s="352" t="s">
        <v>718</v>
      </c>
      <c r="C30" s="741">
        <v>-43224208.280000001</v>
      </c>
      <c r="D30" s="741">
        <v>0</v>
      </c>
      <c r="E30" s="362">
        <v>-43224208.280000001</v>
      </c>
      <c r="F30" s="358"/>
      <c r="G30" s="358"/>
      <c r="H30" s="362">
        <f t="shared" si="0"/>
        <v>0</v>
      </c>
    </row>
    <row r="31" spans="1:8">
      <c r="A31" s="359">
        <v>14.2</v>
      </c>
      <c r="B31" s="352" t="s">
        <v>719</v>
      </c>
      <c r="C31" s="741">
        <v>-13952586.513920981</v>
      </c>
      <c r="D31" s="741">
        <v>-1702460.3385000001</v>
      </c>
      <c r="E31" s="362">
        <v>-15655046.852420982</v>
      </c>
      <c r="F31" s="358"/>
      <c r="G31" s="358"/>
      <c r="H31" s="362">
        <f t="shared" si="0"/>
        <v>0</v>
      </c>
    </row>
    <row r="32" spans="1:8">
      <c r="A32" s="359">
        <v>15</v>
      </c>
      <c r="B32" s="353" t="s">
        <v>720</v>
      </c>
      <c r="C32" s="741">
        <v>-7725674.3116949201</v>
      </c>
      <c r="D32" s="741">
        <v>0</v>
      </c>
      <c r="E32" s="362">
        <v>-7725674.3116949201</v>
      </c>
      <c r="F32" s="358"/>
      <c r="G32" s="358"/>
      <c r="H32" s="362">
        <f t="shared" si="0"/>
        <v>0</v>
      </c>
    </row>
    <row r="33" spans="1:8" ht="22.5" customHeight="1">
      <c r="A33" s="359">
        <v>16</v>
      </c>
      <c r="B33" s="354" t="s">
        <v>721</v>
      </c>
      <c r="C33" s="741">
        <v>0</v>
      </c>
      <c r="D33" s="741"/>
      <c r="E33" s="362">
        <v>0</v>
      </c>
      <c r="F33" s="358"/>
      <c r="G33" s="358"/>
      <c r="H33" s="362">
        <f t="shared" si="0"/>
        <v>0</v>
      </c>
    </row>
    <row r="34" spans="1:8">
      <c r="A34" s="359">
        <v>17</v>
      </c>
      <c r="B34" s="346" t="s">
        <v>722</v>
      </c>
      <c r="C34" s="741">
        <v>0</v>
      </c>
      <c r="D34" s="741">
        <v>0</v>
      </c>
      <c r="E34" s="362">
        <v>0</v>
      </c>
      <c r="F34" s="358">
        <f>SUM(F35:F36)</f>
        <v>0</v>
      </c>
      <c r="G34" s="358">
        <f>SUM(G35:G36)</f>
        <v>0</v>
      </c>
      <c r="H34" s="362">
        <f t="shared" si="0"/>
        <v>0</v>
      </c>
    </row>
    <row r="35" spans="1:8">
      <c r="A35" s="359">
        <v>17.100000000000001</v>
      </c>
      <c r="B35" s="352" t="s">
        <v>723</v>
      </c>
      <c r="C35" s="741">
        <v>0</v>
      </c>
      <c r="D35" s="741"/>
      <c r="E35" s="362">
        <v>0</v>
      </c>
      <c r="F35" s="358"/>
      <c r="G35" s="358"/>
      <c r="H35" s="362">
        <f t="shared" si="0"/>
        <v>0</v>
      </c>
    </row>
    <row r="36" spans="1:8">
      <c r="A36" s="359">
        <v>17.2</v>
      </c>
      <c r="B36" s="352" t="s">
        <v>724</v>
      </c>
      <c r="C36" s="741">
        <v>0</v>
      </c>
      <c r="D36" s="741"/>
      <c r="E36" s="362">
        <v>0</v>
      </c>
      <c r="F36" s="358"/>
      <c r="G36" s="358"/>
      <c r="H36" s="362">
        <f t="shared" si="0"/>
        <v>0</v>
      </c>
    </row>
    <row r="37" spans="1:8" ht="41.55" customHeight="1">
      <c r="A37" s="359">
        <v>18</v>
      </c>
      <c r="B37" s="355" t="s">
        <v>725</v>
      </c>
      <c r="C37" s="741">
        <v>-23187285.733616602</v>
      </c>
      <c r="D37" s="741">
        <v>0</v>
      </c>
      <c r="E37" s="362">
        <v>-23187285.733616602</v>
      </c>
      <c r="F37" s="358">
        <f>SUM(F38:F39)</f>
        <v>0</v>
      </c>
      <c r="G37" s="358">
        <f>SUM(G38:G39)</f>
        <v>0</v>
      </c>
      <c r="H37" s="362">
        <f t="shared" si="0"/>
        <v>0</v>
      </c>
    </row>
    <row r="38" spans="1:8" ht="27.6">
      <c r="A38" s="359">
        <v>18.100000000000001</v>
      </c>
      <c r="B38" s="349" t="s">
        <v>726</v>
      </c>
      <c r="C38" s="741">
        <v>0</v>
      </c>
      <c r="D38" s="741"/>
      <c r="E38" s="362">
        <v>0</v>
      </c>
      <c r="F38" s="358"/>
      <c r="G38" s="358"/>
      <c r="H38" s="362">
        <f t="shared" si="0"/>
        <v>0</v>
      </c>
    </row>
    <row r="39" spans="1:8">
      <c r="A39" s="359">
        <v>18.2</v>
      </c>
      <c r="B39" s="349" t="s">
        <v>727</v>
      </c>
      <c r="C39" s="741">
        <v>-23187285.733616602</v>
      </c>
      <c r="D39" s="741">
        <v>0</v>
      </c>
      <c r="E39" s="362">
        <v>-23187285.733616602</v>
      </c>
      <c r="F39" s="358"/>
      <c r="G39" s="358"/>
      <c r="H39" s="362">
        <f t="shared" si="0"/>
        <v>0</v>
      </c>
    </row>
    <row r="40" spans="1:8" ht="24.45" customHeight="1">
      <c r="A40" s="359">
        <v>19</v>
      </c>
      <c r="B40" s="355" t="s">
        <v>728</v>
      </c>
      <c r="C40" s="741">
        <v>0</v>
      </c>
      <c r="D40" s="741"/>
      <c r="E40" s="362">
        <v>0</v>
      </c>
      <c r="F40" s="358"/>
      <c r="G40" s="358"/>
      <c r="H40" s="362">
        <f t="shared" si="0"/>
        <v>0</v>
      </c>
    </row>
    <row r="41" spans="1:8" ht="25.05" customHeight="1">
      <c r="A41" s="359">
        <v>20</v>
      </c>
      <c r="B41" s="355" t="s">
        <v>729</v>
      </c>
      <c r="C41" s="741">
        <v>-271112.17</v>
      </c>
      <c r="D41" s="741">
        <v>0</v>
      </c>
      <c r="E41" s="362">
        <v>-271112.17</v>
      </c>
      <c r="F41" s="358"/>
      <c r="G41" s="358"/>
      <c r="H41" s="362">
        <f t="shared" si="0"/>
        <v>0</v>
      </c>
    </row>
    <row r="42" spans="1:8" ht="33" customHeight="1">
      <c r="A42" s="359">
        <v>21</v>
      </c>
      <c r="B42" s="356" t="s">
        <v>730</v>
      </c>
      <c r="C42" s="741">
        <v>0</v>
      </c>
      <c r="D42" s="741"/>
      <c r="E42" s="362">
        <v>0</v>
      </c>
      <c r="F42" s="358"/>
      <c r="G42" s="358"/>
      <c r="H42" s="362">
        <f t="shared" si="0"/>
        <v>0</v>
      </c>
    </row>
    <row r="43" spans="1:8">
      <c r="A43" s="359">
        <v>22</v>
      </c>
      <c r="B43" s="357" t="s">
        <v>731</v>
      </c>
      <c r="C43" s="741">
        <v>39400961.835834324</v>
      </c>
      <c r="D43" s="741">
        <v>-22422879.441444065</v>
      </c>
      <c r="E43" s="362">
        <v>16978082.394390259</v>
      </c>
      <c r="F43" s="358">
        <f>SUM(F6,F13,F18,F19,F20,F21,F22,F23,F24,F25,F26,F27,F28,F29,F32,F33,F34,F37,F40,F41,F42)</f>
        <v>0</v>
      </c>
      <c r="G43" s="358">
        <f>SUM(G6,G13,G18,G19,G20,G21,G22,G23,G24,G25,G26,G27,G28,G29,G32,G33,G34,G37,G40,G41,G42)</f>
        <v>0</v>
      </c>
      <c r="H43" s="362">
        <f t="shared" si="0"/>
        <v>0</v>
      </c>
    </row>
    <row r="44" spans="1:8">
      <c r="A44" s="359">
        <v>23</v>
      </c>
      <c r="B44" s="357" t="s">
        <v>732</v>
      </c>
      <c r="C44" s="741">
        <v>-3500809.5003036698</v>
      </c>
      <c r="D44" s="741">
        <v>0</v>
      </c>
      <c r="E44" s="362">
        <v>-3500809.5003036698</v>
      </c>
      <c r="F44" s="358"/>
      <c r="G44" s="358"/>
      <c r="H44" s="362">
        <f t="shared" si="0"/>
        <v>0</v>
      </c>
    </row>
    <row r="45" spans="1:8">
      <c r="A45" s="359">
        <v>24</v>
      </c>
      <c r="B45" s="357" t="s">
        <v>733</v>
      </c>
      <c r="C45" s="741">
        <v>35900152.335530654</v>
      </c>
      <c r="D45" s="741">
        <v>-22422879.441444065</v>
      </c>
      <c r="E45" s="362">
        <v>13477272.894086588</v>
      </c>
      <c r="F45" s="358">
        <f>F43+F44</f>
        <v>0</v>
      </c>
      <c r="G45" s="358">
        <f>G43+G44</f>
        <v>0</v>
      </c>
      <c r="H45" s="362">
        <f>F45+G45</f>
        <v>0</v>
      </c>
    </row>
  </sheetData>
  <mergeCells count="4">
    <mergeCell ref="B4:B5"/>
    <mergeCell ref="C4:E4"/>
    <mergeCell ref="F4:H4"/>
    <mergeCell ref="A4:A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pane xSplit="2" ySplit="5" topLeftCell="C6" activePane="bottomRight" state="frozen"/>
      <selection activeCell="C46" sqref="C46"/>
      <selection pane="topRight" activeCell="C46" sqref="C46"/>
      <selection pane="bottomLeft" activeCell="C46" sqref="C46"/>
      <selection pane="bottomRight" activeCell="C7" sqref="C7:E42"/>
    </sheetView>
  </sheetViews>
  <sheetFormatPr defaultRowHeight="14.4"/>
  <cols>
    <col min="1" max="1" width="13.88671875" style="389" customWidth="1"/>
    <col min="2" max="2" width="87.6640625" style="390" bestFit="1" customWidth="1"/>
    <col min="3" max="8" width="13.88671875" style="338" customWidth="1"/>
    <col min="9" max="16384" width="8.88671875" style="324"/>
  </cols>
  <sheetData>
    <row r="1" spans="1:8">
      <c r="A1" s="342" t="s">
        <v>869</v>
      </c>
      <c r="B1" s="344" t="str">
        <f>Info!C2</f>
        <v>კრისტალი</v>
      </c>
      <c r="C1" s="341"/>
      <c r="D1" s="9"/>
      <c r="E1" s="9"/>
      <c r="F1" s="9"/>
      <c r="G1" s="9"/>
    </row>
    <row r="2" spans="1:8">
      <c r="A2" s="342" t="s">
        <v>88</v>
      </c>
      <c r="B2" s="343">
        <f>'1. key ratios'!B2</f>
        <v>46022</v>
      </c>
      <c r="C2" s="341"/>
      <c r="D2" s="9"/>
      <c r="E2" s="9"/>
      <c r="F2" s="9"/>
      <c r="G2" s="9"/>
    </row>
    <row r="3" spans="1:8">
      <c r="A3" s="340"/>
      <c r="B3" s="341"/>
      <c r="C3" s="341"/>
      <c r="D3" s="9"/>
      <c r="E3" s="9"/>
      <c r="F3" s="9"/>
      <c r="G3" s="9"/>
    </row>
    <row r="4" spans="1:8">
      <c r="A4" s="796" t="s">
        <v>25</v>
      </c>
      <c r="B4" s="797" t="s">
        <v>123</v>
      </c>
      <c r="C4" s="798" t="s">
        <v>93</v>
      </c>
      <c r="D4" s="798"/>
      <c r="E4" s="798"/>
      <c r="F4" s="798" t="s">
        <v>94</v>
      </c>
      <c r="G4" s="798"/>
      <c r="H4" s="799"/>
    </row>
    <row r="5" spans="1:8">
      <c r="A5" s="796"/>
      <c r="B5" s="797"/>
      <c r="C5" s="61" t="s">
        <v>26</v>
      </c>
      <c r="D5" s="61" t="s">
        <v>70</v>
      </c>
      <c r="E5" s="61" t="s">
        <v>59</v>
      </c>
      <c r="F5" s="61" t="s">
        <v>26</v>
      </c>
      <c r="G5" s="61" t="s">
        <v>70</v>
      </c>
      <c r="H5" s="62" t="s">
        <v>59</v>
      </c>
    </row>
    <row r="6" spans="1:8" s="345" customFormat="1" ht="13.8">
      <c r="A6" s="363">
        <v>1</v>
      </c>
      <c r="B6" s="380" t="s">
        <v>734</v>
      </c>
      <c r="C6" s="381">
        <v>0</v>
      </c>
      <c r="D6" s="381">
        <v>0</v>
      </c>
      <c r="E6" s="382">
        <f t="shared" ref="E6:E43" si="0">C6+D6</f>
        <v>0</v>
      </c>
      <c r="F6" s="381"/>
      <c r="G6" s="381"/>
      <c r="H6" s="383">
        <f t="shared" ref="H6:H43" si="1">F6+G6</f>
        <v>0</v>
      </c>
    </row>
    <row r="7" spans="1:8" s="345" customFormat="1" ht="27.6">
      <c r="A7" s="363">
        <v>2</v>
      </c>
      <c r="B7" s="380" t="s">
        <v>902</v>
      </c>
      <c r="C7" s="748">
        <v>0</v>
      </c>
      <c r="D7" s="748">
        <v>0</v>
      </c>
      <c r="E7" s="382">
        <f t="shared" si="0"/>
        <v>0</v>
      </c>
      <c r="F7" s="381"/>
      <c r="G7" s="381"/>
      <c r="H7" s="383">
        <f t="shared" si="1"/>
        <v>0</v>
      </c>
    </row>
    <row r="8" spans="1:8" s="345" customFormat="1" ht="13.8">
      <c r="A8" s="363">
        <v>3</v>
      </c>
      <c r="B8" s="380" t="s">
        <v>903</v>
      </c>
      <c r="C8" s="748">
        <f>C9+C10</f>
        <v>1073381007.9099997</v>
      </c>
      <c r="D8" s="748">
        <f>D9+D10</f>
        <v>7165005.5874000005</v>
      </c>
      <c r="E8" s="382">
        <f t="shared" si="0"/>
        <v>1080546013.4973998</v>
      </c>
      <c r="F8" s="381">
        <f>F9+F10</f>
        <v>0</v>
      </c>
      <c r="G8" s="381">
        <f>G9+G10</f>
        <v>0</v>
      </c>
      <c r="H8" s="383">
        <f t="shared" si="1"/>
        <v>0</v>
      </c>
    </row>
    <row r="9" spans="1:8" s="345" customFormat="1" ht="13.8">
      <c r="A9" s="363">
        <v>3.1</v>
      </c>
      <c r="B9" s="384" t="s">
        <v>735</v>
      </c>
      <c r="C9" s="748">
        <v>1073381007.9099997</v>
      </c>
      <c r="D9" s="748">
        <v>7165005.5874000005</v>
      </c>
      <c r="E9" s="382">
        <f t="shared" si="0"/>
        <v>1080546013.4973998</v>
      </c>
      <c r="F9" s="381"/>
      <c r="G9" s="381"/>
      <c r="H9" s="383">
        <f t="shared" si="1"/>
        <v>0</v>
      </c>
    </row>
    <row r="10" spans="1:8" s="345" customFormat="1" ht="13.8">
      <c r="A10" s="363">
        <v>3.2</v>
      </c>
      <c r="B10" s="384" t="s">
        <v>736</v>
      </c>
      <c r="C10" s="748">
        <v>0</v>
      </c>
      <c r="D10" s="748">
        <v>0</v>
      </c>
      <c r="E10" s="382">
        <f t="shared" si="0"/>
        <v>0</v>
      </c>
      <c r="F10" s="381"/>
      <c r="G10" s="381"/>
      <c r="H10" s="383">
        <f t="shared" si="1"/>
        <v>0</v>
      </c>
    </row>
    <row r="11" spans="1:8" s="345" customFormat="1" ht="27.6">
      <c r="A11" s="363">
        <v>4</v>
      </c>
      <c r="B11" s="380" t="s">
        <v>944</v>
      </c>
      <c r="C11" s="748">
        <f>C12+C13</f>
        <v>0</v>
      </c>
      <c r="D11" s="748">
        <f>D12+D13</f>
        <v>0</v>
      </c>
      <c r="E11" s="382">
        <f t="shared" si="0"/>
        <v>0</v>
      </c>
      <c r="F11" s="381">
        <f>F12+F13</f>
        <v>0</v>
      </c>
      <c r="G11" s="381">
        <f>G12+G13</f>
        <v>0</v>
      </c>
      <c r="H11" s="383">
        <f t="shared" si="1"/>
        <v>0</v>
      </c>
    </row>
    <row r="12" spans="1:8" s="345" customFormat="1" ht="13.8">
      <c r="A12" s="363">
        <v>4.0999999999999996</v>
      </c>
      <c r="B12" s="384" t="s">
        <v>904</v>
      </c>
      <c r="C12" s="748">
        <v>0</v>
      </c>
      <c r="D12" s="748">
        <v>0</v>
      </c>
      <c r="E12" s="382">
        <f t="shared" si="0"/>
        <v>0</v>
      </c>
      <c r="F12" s="381"/>
      <c r="G12" s="381"/>
      <c r="H12" s="383">
        <f t="shared" si="1"/>
        <v>0</v>
      </c>
    </row>
    <row r="13" spans="1:8" s="345" customFormat="1" ht="13.8">
      <c r="A13" s="363">
        <v>4.2</v>
      </c>
      <c r="B13" s="384" t="s">
        <v>905</v>
      </c>
      <c r="C13" s="748">
        <v>0</v>
      </c>
      <c r="D13" s="748">
        <v>0</v>
      </c>
      <c r="E13" s="382">
        <f t="shared" si="0"/>
        <v>0</v>
      </c>
      <c r="F13" s="381"/>
      <c r="G13" s="381"/>
      <c r="H13" s="383">
        <f t="shared" si="1"/>
        <v>0</v>
      </c>
    </row>
    <row r="14" spans="1:8" s="345" customFormat="1" ht="13.8">
      <c r="A14" s="363">
        <v>5</v>
      </c>
      <c r="B14" s="385" t="s">
        <v>737</v>
      </c>
      <c r="C14" s="748">
        <f>C15+C16+C17+C23+C24+C25+C26</f>
        <v>879792089.99999952</v>
      </c>
      <c r="D14" s="748">
        <f>D15+D16+D17+D23+D24+D25+D26</f>
        <v>54866715.149599992</v>
      </c>
      <c r="E14" s="382">
        <f t="shared" si="0"/>
        <v>934658805.14959955</v>
      </c>
      <c r="F14" s="381">
        <f>F15+F16+F17+F23+F24+F25+F26</f>
        <v>0</v>
      </c>
      <c r="G14" s="381">
        <f>G15+G16+G17+G23+G24+G25+G26</f>
        <v>0</v>
      </c>
      <c r="H14" s="383">
        <f t="shared" si="1"/>
        <v>0</v>
      </c>
    </row>
    <row r="15" spans="1:8" s="345" customFormat="1" ht="13.8">
      <c r="A15" s="363">
        <v>5.0999999999999996</v>
      </c>
      <c r="B15" s="386" t="s">
        <v>738</v>
      </c>
      <c r="C15" s="748">
        <v>0</v>
      </c>
      <c r="D15" s="748">
        <v>0</v>
      </c>
      <c r="E15" s="382">
        <f t="shared" si="0"/>
        <v>0</v>
      </c>
      <c r="F15" s="381"/>
      <c r="G15" s="381"/>
      <c r="H15" s="383">
        <f t="shared" si="1"/>
        <v>0</v>
      </c>
    </row>
    <row r="16" spans="1:8" s="345" customFormat="1" ht="13.8">
      <c r="A16" s="363">
        <v>5.2</v>
      </c>
      <c r="B16" s="386" t="s">
        <v>739</v>
      </c>
      <c r="C16" s="748">
        <v>22551850.640000004</v>
      </c>
      <c r="D16" s="748">
        <v>80997.807600000015</v>
      </c>
      <c r="E16" s="382">
        <f t="shared" si="0"/>
        <v>22632848.447600003</v>
      </c>
      <c r="F16" s="381"/>
      <c r="G16" s="381"/>
      <c r="H16" s="383">
        <f t="shared" si="1"/>
        <v>0</v>
      </c>
    </row>
    <row r="17" spans="1:8" s="345" customFormat="1" ht="13.8">
      <c r="A17" s="363">
        <v>5.3</v>
      </c>
      <c r="B17" s="386" t="s">
        <v>740</v>
      </c>
      <c r="C17" s="748">
        <f>C18+C19+C20+C21+C22</f>
        <v>697421278.22999954</v>
      </c>
      <c r="D17" s="748">
        <f>D18+D19+D20+D21+D22</f>
        <v>54058360.358199991</v>
      </c>
      <c r="E17" s="382">
        <f t="shared" si="0"/>
        <v>751479638.5881995</v>
      </c>
      <c r="F17" s="381"/>
      <c r="G17" s="381"/>
      <c r="H17" s="383">
        <f t="shared" si="1"/>
        <v>0</v>
      </c>
    </row>
    <row r="18" spans="1:8" s="345" customFormat="1" ht="13.8">
      <c r="A18" s="363" t="s">
        <v>145</v>
      </c>
      <c r="B18" s="387" t="s">
        <v>741</v>
      </c>
      <c r="C18" s="748">
        <v>697421278.22999954</v>
      </c>
      <c r="D18" s="748">
        <v>54058360.358199991</v>
      </c>
      <c r="E18" s="382">
        <f t="shared" si="0"/>
        <v>751479638.5881995</v>
      </c>
      <c r="F18" s="381"/>
      <c r="G18" s="381"/>
      <c r="H18" s="383">
        <f t="shared" si="1"/>
        <v>0</v>
      </c>
    </row>
    <row r="19" spans="1:8" s="345" customFormat="1" ht="13.8">
      <c r="A19" s="363" t="s">
        <v>146</v>
      </c>
      <c r="B19" s="387" t="s">
        <v>742</v>
      </c>
      <c r="C19" s="748">
        <v>0</v>
      </c>
      <c r="D19" s="748">
        <v>0</v>
      </c>
      <c r="E19" s="382">
        <f t="shared" si="0"/>
        <v>0</v>
      </c>
      <c r="F19" s="381"/>
      <c r="G19" s="381"/>
      <c r="H19" s="383">
        <f t="shared" si="1"/>
        <v>0</v>
      </c>
    </row>
    <row r="20" spans="1:8" s="345" customFormat="1" ht="13.8">
      <c r="A20" s="363" t="s">
        <v>147</v>
      </c>
      <c r="B20" s="387" t="s">
        <v>743</v>
      </c>
      <c r="C20" s="748">
        <v>0</v>
      </c>
      <c r="D20" s="748">
        <v>0</v>
      </c>
      <c r="E20" s="382">
        <f t="shared" si="0"/>
        <v>0</v>
      </c>
      <c r="F20" s="381"/>
      <c r="G20" s="381"/>
      <c r="H20" s="383">
        <f t="shared" si="1"/>
        <v>0</v>
      </c>
    </row>
    <row r="21" spans="1:8" s="345" customFormat="1" ht="13.8">
      <c r="A21" s="363" t="s">
        <v>148</v>
      </c>
      <c r="B21" s="387" t="s">
        <v>744</v>
      </c>
      <c r="C21" s="748">
        <v>0</v>
      </c>
      <c r="D21" s="748">
        <v>0</v>
      </c>
      <c r="E21" s="382">
        <f t="shared" si="0"/>
        <v>0</v>
      </c>
      <c r="F21" s="381"/>
      <c r="G21" s="381"/>
      <c r="H21" s="383">
        <f t="shared" si="1"/>
        <v>0</v>
      </c>
    </row>
    <row r="22" spans="1:8" s="345" customFormat="1" ht="13.8">
      <c r="A22" s="363" t="s">
        <v>149</v>
      </c>
      <c r="B22" s="387" t="s">
        <v>472</v>
      </c>
      <c r="C22" s="748">
        <v>0</v>
      </c>
      <c r="D22" s="748">
        <v>0</v>
      </c>
      <c r="E22" s="382">
        <f t="shared" si="0"/>
        <v>0</v>
      </c>
      <c r="F22" s="381"/>
      <c r="G22" s="381"/>
      <c r="H22" s="383">
        <f t="shared" si="1"/>
        <v>0</v>
      </c>
    </row>
    <row r="23" spans="1:8" s="345" customFormat="1" ht="13.8">
      <c r="A23" s="363">
        <v>5.4</v>
      </c>
      <c r="B23" s="386" t="s">
        <v>745</v>
      </c>
      <c r="C23" s="748">
        <v>159371901.93000001</v>
      </c>
      <c r="D23" s="748">
        <v>727356.98379999993</v>
      </c>
      <c r="E23" s="382">
        <f t="shared" si="0"/>
        <v>160099258.9138</v>
      </c>
      <c r="F23" s="381"/>
      <c r="G23" s="381"/>
      <c r="H23" s="383">
        <f t="shared" si="1"/>
        <v>0</v>
      </c>
    </row>
    <row r="24" spans="1:8" s="345" customFormat="1" ht="13.8">
      <c r="A24" s="363">
        <v>5.5</v>
      </c>
      <c r="B24" s="386" t="s">
        <v>746</v>
      </c>
      <c r="C24" s="748"/>
      <c r="D24" s="748"/>
      <c r="E24" s="382">
        <f t="shared" si="0"/>
        <v>0</v>
      </c>
      <c r="F24" s="381"/>
      <c r="G24" s="381"/>
      <c r="H24" s="383">
        <f t="shared" si="1"/>
        <v>0</v>
      </c>
    </row>
    <row r="25" spans="1:8" s="345" customFormat="1" ht="13.8">
      <c r="A25" s="363">
        <v>5.6</v>
      </c>
      <c r="B25" s="386" t="s">
        <v>747</v>
      </c>
      <c r="C25" s="748"/>
      <c r="D25" s="748"/>
      <c r="E25" s="382">
        <f t="shared" si="0"/>
        <v>0</v>
      </c>
      <c r="F25" s="381"/>
      <c r="G25" s="381"/>
      <c r="H25" s="383">
        <f t="shared" si="1"/>
        <v>0</v>
      </c>
    </row>
    <row r="26" spans="1:8" s="345" customFormat="1" ht="13.8">
      <c r="A26" s="363">
        <v>5.7</v>
      </c>
      <c r="B26" s="386" t="s">
        <v>472</v>
      </c>
      <c r="C26" s="748">
        <v>447059.20000000001</v>
      </c>
      <c r="D26" s="748">
        <v>0</v>
      </c>
      <c r="E26" s="382">
        <f t="shared" si="0"/>
        <v>447059.20000000001</v>
      </c>
      <c r="F26" s="381"/>
      <c r="G26" s="381"/>
      <c r="H26" s="383">
        <f t="shared" si="1"/>
        <v>0</v>
      </c>
    </row>
    <row r="27" spans="1:8" s="345" customFormat="1" ht="13.8">
      <c r="A27" s="363">
        <v>6</v>
      </c>
      <c r="B27" s="385" t="s">
        <v>748</v>
      </c>
      <c r="C27" s="748">
        <v>2392892.7899999958</v>
      </c>
      <c r="D27" s="748">
        <v>42590.854000000014</v>
      </c>
      <c r="E27" s="382">
        <f t="shared" si="0"/>
        <v>2435483.6439999957</v>
      </c>
      <c r="F27" s="381"/>
      <c r="G27" s="381"/>
      <c r="H27" s="383">
        <f t="shared" si="1"/>
        <v>0</v>
      </c>
    </row>
    <row r="28" spans="1:8" s="345" customFormat="1" ht="13.8">
      <c r="A28" s="363">
        <v>7</v>
      </c>
      <c r="B28" s="385" t="s">
        <v>749</v>
      </c>
      <c r="C28" s="748">
        <v>0</v>
      </c>
      <c r="D28" s="748">
        <v>0</v>
      </c>
      <c r="E28" s="382">
        <f t="shared" si="0"/>
        <v>0</v>
      </c>
      <c r="F28" s="381"/>
      <c r="G28" s="381"/>
      <c r="H28" s="383">
        <f t="shared" si="1"/>
        <v>0</v>
      </c>
    </row>
    <row r="29" spans="1:8" s="345" customFormat="1" ht="13.8">
      <c r="A29" s="363">
        <v>8</v>
      </c>
      <c r="B29" s="385" t="s">
        <v>750</v>
      </c>
      <c r="C29" s="748">
        <v>0</v>
      </c>
      <c r="D29" s="748">
        <v>0</v>
      </c>
      <c r="E29" s="382">
        <f t="shared" si="0"/>
        <v>0</v>
      </c>
      <c r="F29" s="381"/>
      <c r="G29" s="381"/>
      <c r="H29" s="383">
        <f t="shared" si="1"/>
        <v>0</v>
      </c>
    </row>
    <row r="30" spans="1:8" s="345" customFormat="1" ht="13.8">
      <c r="A30" s="363">
        <v>9</v>
      </c>
      <c r="B30" s="380" t="s">
        <v>150</v>
      </c>
      <c r="C30" s="748">
        <f>C31+C32+C33+C34+C35+C36+C37</f>
        <v>-304541151.69999999</v>
      </c>
      <c r="D30" s="748">
        <f>D31+D32+D33+D34+D35+D36+D37</f>
        <v>283816623.69340003</v>
      </c>
      <c r="E30" s="382">
        <f t="shared" si="0"/>
        <v>-20724528.006599963</v>
      </c>
      <c r="F30" s="381">
        <f>F31+F32+F33+F34+F35+F36+F37</f>
        <v>0</v>
      </c>
      <c r="G30" s="381">
        <f>G31+G32+G33+G34+G35+G36+G37</f>
        <v>0</v>
      </c>
      <c r="H30" s="383">
        <f t="shared" si="1"/>
        <v>0</v>
      </c>
    </row>
    <row r="31" spans="1:8" s="345" customFormat="1" ht="27.6">
      <c r="A31" s="363">
        <v>9.1</v>
      </c>
      <c r="B31" s="384" t="s">
        <v>751</v>
      </c>
      <c r="C31" s="748">
        <v>1068171.8500000001</v>
      </c>
      <c r="D31" s="748">
        <v>286730915.6444</v>
      </c>
      <c r="E31" s="382">
        <f t="shared" si="0"/>
        <v>287799087.49440002</v>
      </c>
      <c r="F31" s="381"/>
      <c r="G31" s="381"/>
      <c r="H31" s="383">
        <f t="shared" si="1"/>
        <v>0</v>
      </c>
    </row>
    <row r="32" spans="1:8" s="345" customFormat="1" ht="27.6">
      <c r="A32" s="363">
        <v>9.1999999999999993</v>
      </c>
      <c r="B32" s="384" t="s">
        <v>752</v>
      </c>
      <c r="C32" s="748">
        <v>-305609323.55000001</v>
      </c>
      <c r="D32" s="748">
        <v>-2914291.9509999999</v>
      </c>
      <c r="E32" s="382">
        <f t="shared" si="0"/>
        <v>-308523615.50099999</v>
      </c>
      <c r="F32" s="381"/>
      <c r="G32" s="381"/>
      <c r="H32" s="383">
        <f t="shared" si="1"/>
        <v>0</v>
      </c>
    </row>
    <row r="33" spans="1:8" s="345" customFormat="1" ht="27.6">
      <c r="A33" s="363">
        <v>9.3000000000000007</v>
      </c>
      <c r="B33" s="384" t="s">
        <v>753</v>
      </c>
      <c r="C33" s="381">
        <v>0</v>
      </c>
      <c r="D33" s="381">
        <v>0</v>
      </c>
      <c r="E33" s="382">
        <f t="shared" si="0"/>
        <v>0</v>
      </c>
      <c r="F33" s="381"/>
      <c r="G33" s="381"/>
      <c r="H33" s="383">
        <f t="shared" si="1"/>
        <v>0</v>
      </c>
    </row>
    <row r="34" spans="1:8" s="345" customFormat="1" ht="13.8">
      <c r="A34" s="363">
        <v>9.4</v>
      </c>
      <c r="B34" s="384" t="s">
        <v>754</v>
      </c>
      <c r="C34" s="381">
        <v>0</v>
      </c>
      <c r="D34" s="381">
        <v>0</v>
      </c>
      <c r="E34" s="382">
        <f t="shared" si="0"/>
        <v>0</v>
      </c>
      <c r="F34" s="381"/>
      <c r="G34" s="381"/>
      <c r="H34" s="383">
        <f t="shared" si="1"/>
        <v>0</v>
      </c>
    </row>
    <row r="35" spans="1:8" s="345" customFormat="1" ht="13.8">
      <c r="A35" s="363">
        <v>9.5</v>
      </c>
      <c r="B35" s="384" t="s">
        <v>755</v>
      </c>
      <c r="C35" s="381">
        <v>0</v>
      </c>
      <c r="D35" s="381">
        <v>0</v>
      </c>
      <c r="E35" s="382">
        <f t="shared" si="0"/>
        <v>0</v>
      </c>
      <c r="F35" s="381"/>
      <c r="G35" s="381"/>
      <c r="H35" s="383">
        <f t="shared" si="1"/>
        <v>0</v>
      </c>
    </row>
    <row r="36" spans="1:8" s="345" customFormat="1" ht="27.6">
      <c r="A36" s="363">
        <v>9.6</v>
      </c>
      <c r="B36" s="384" t="s">
        <v>756</v>
      </c>
      <c r="C36" s="381">
        <v>0</v>
      </c>
      <c r="D36" s="381">
        <v>0</v>
      </c>
      <c r="E36" s="382">
        <f t="shared" si="0"/>
        <v>0</v>
      </c>
      <c r="F36" s="381"/>
      <c r="G36" s="381"/>
      <c r="H36" s="383">
        <f t="shared" si="1"/>
        <v>0</v>
      </c>
    </row>
    <row r="37" spans="1:8" s="345" customFormat="1" ht="27.6">
      <c r="A37" s="363">
        <v>9.6999999999999993</v>
      </c>
      <c r="B37" s="384" t="s">
        <v>757</v>
      </c>
      <c r="C37" s="381">
        <v>0</v>
      </c>
      <c r="D37" s="381">
        <v>0</v>
      </c>
      <c r="E37" s="382">
        <f t="shared" si="0"/>
        <v>0</v>
      </c>
      <c r="F37" s="381"/>
      <c r="G37" s="381"/>
      <c r="H37" s="383">
        <f t="shared" si="1"/>
        <v>0</v>
      </c>
    </row>
    <row r="38" spans="1:8" s="345" customFormat="1" ht="13.8">
      <c r="A38" s="363">
        <v>10</v>
      </c>
      <c r="B38" s="385" t="s">
        <v>758</v>
      </c>
      <c r="C38" s="762">
        <f>C41+C42</f>
        <v>13341144.640000002</v>
      </c>
      <c r="D38" s="762">
        <f>D41+D42</f>
        <v>0</v>
      </c>
      <c r="E38" s="382">
        <f t="shared" si="0"/>
        <v>13341144.640000002</v>
      </c>
      <c r="F38" s="388">
        <f>F41+F42</f>
        <v>0</v>
      </c>
      <c r="G38" s="388">
        <f>G41+G42</f>
        <v>0</v>
      </c>
      <c r="H38" s="383">
        <f t="shared" si="1"/>
        <v>0</v>
      </c>
    </row>
    <row r="39" spans="1:8" s="345" customFormat="1" ht="13.8">
      <c r="A39" s="363">
        <v>10.1</v>
      </c>
      <c r="B39" s="384" t="s">
        <v>759</v>
      </c>
      <c r="C39" s="748">
        <v>2669658.3900000006</v>
      </c>
      <c r="D39" s="748">
        <v>0</v>
      </c>
      <c r="E39" s="382">
        <f t="shared" si="0"/>
        <v>2669658.3900000006</v>
      </c>
      <c r="F39" s="381"/>
      <c r="G39" s="381"/>
      <c r="H39" s="383">
        <f t="shared" si="1"/>
        <v>0</v>
      </c>
    </row>
    <row r="40" spans="1:8" s="345" customFormat="1" ht="27.6">
      <c r="A40" s="363">
        <v>10.199999999999999</v>
      </c>
      <c r="B40" s="384" t="s">
        <v>760</v>
      </c>
      <c r="C40" s="748">
        <v>1033670.9099999997</v>
      </c>
      <c r="D40" s="748">
        <v>0</v>
      </c>
      <c r="E40" s="382">
        <f t="shared" si="0"/>
        <v>1033670.9099999997</v>
      </c>
      <c r="F40" s="381"/>
      <c r="G40" s="381"/>
      <c r="H40" s="383">
        <f t="shared" si="1"/>
        <v>0</v>
      </c>
    </row>
    <row r="41" spans="1:8" s="345" customFormat="1" ht="27.6">
      <c r="A41" s="363">
        <v>10.3</v>
      </c>
      <c r="B41" s="384" t="s">
        <v>761</v>
      </c>
      <c r="C41" s="748">
        <v>9733400.5100000016</v>
      </c>
      <c r="D41" s="748">
        <v>0</v>
      </c>
      <c r="E41" s="382">
        <f t="shared" si="0"/>
        <v>9733400.5100000016</v>
      </c>
      <c r="F41" s="381"/>
      <c r="G41" s="381"/>
      <c r="H41" s="383">
        <f t="shared" si="1"/>
        <v>0</v>
      </c>
    </row>
    <row r="42" spans="1:8" s="345" customFormat="1" ht="27.6">
      <c r="A42" s="363">
        <v>10.4</v>
      </c>
      <c r="B42" s="384" t="s">
        <v>762</v>
      </c>
      <c r="C42" s="748">
        <v>3607744.1300000008</v>
      </c>
      <c r="D42" s="748">
        <v>0</v>
      </c>
      <c r="E42" s="382">
        <f t="shared" si="0"/>
        <v>3607744.1300000008</v>
      </c>
      <c r="F42" s="381"/>
      <c r="G42" s="381"/>
      <c r="H42" s="383">
        <f t="shared" si="1"/>
        <v>0</v>
      </c>
    </row>
    <row r="43" spans="1:8" s="345" customFormat="1" ht="13.8">
      <c r="A43" s="363">
        <v>11</v>
      </c>
      <c r="B43" s="385" t="s">
        <v>151</v>
      </c>
      <c r="C43" s="381">
        <v>0</v>
      </c>
      <c r="D43" s="381">
        <v>0</v>
      </c>
      <c r="E43" s="382">
        <f t="shared" si="0"/>
        <v>0</v>
      </c>
      <c r="F43" s="381"/>
      <c r="G43" s="381"/>
      <c r="H43" s="383">
        <f t="shared" si="1"/>
        <v>0</v>
      </c>
    </row>
    <row r="44" spans="1:8">
      <c r="C44" s="391"/>
      <c r="D44" s="391"/>
      <c r="E44" s="391"/>
      <c r="F44" s="391"/>
      <c r="G44" s="391"/>
      <c r="H44" s="391"/>
    </row>
    <row r="45" spans="1:8">
      <c r="C45" s="391"/>
      <c r="D45" s="391"/>
      <c r="E45" s="391"/>
      <c r="F45" s="391"/>
      <c r="G45" s="391"/>
      <c r="H45" s="391"/>
    </row>
    <row r="46" spans="1:8">
      <c r="C46" s="391"/>
      <c r="D46" s="391"/>
      <c r="E46" s="391"/>
      <c r="F46" s="391"/>
      <c r="G46" s="391"/>
      <c r="H46" s="391"/>
    </row>
    <row r="47" spans="1:8">
      <c r="C47" s="391"/>
      <c r="D47" s="391"/>
      <c r="E47" s="391"/>
      <c r="F47" s="391"/>
      <c r="G47" s="391"/>
      <c r="H47" s="39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8"/>
  <sheetViews>
    <sheetView zoomScale="80" zoomScaleNormal="80" workbookViewId="0">
      <pane xSplit="1" ySplit="4" topLeftCell="B5" activePane="bottomRight" state="frozen"/>
      <selection activeCell="C46" sqref="C46"/>
      <selection pane="topRight" activeCell="C46" sqref="C46"/>
      <selection pane="bottomLeft" activeCell="C46" sqref="C46"/>
      <selection pane="bottomRight" activeCell="H4" sqref="H4:H7"/>
    </sheetView>
  </sheetViews>
  <sheetFormatPr defaultColWidth="9.21875" defaultRowHeight="13.8"/>
  <cols>
    <col min="1" max="1" width="12.77734375" style="9" customWidth="1"/>
    <col min="2" max="2" width="115.77734375" style="9" bestFit="1" customWidth="1"/>
    <col min="3" max="4" width="12.77734375" style="9" customWidth="1"/>
    <col min="5" max="5" width="12.6640625" style="403" customWidth="1"/>
    <col min="6" max="7" width="9.77734375" style="403" customWidth="1"/>
    <col min="8" max="11" width="9.77734375" style="404" customWidth="1"/>
    <col min="12" max="16384" width="9.21875" style="404"/>
  </cols>
  <sheetData>
    <row r="1" spans="1:8">
      <c r="A1" s="342" t="s">
        <v>869</v>
      </c>
      <c r="B1" s="344" t="str">
        <f>Info!C2</f>
        <v>კრისტალი</v>
      </c>
      <c r="C1" s="341"/>
    </row>
    <row r="2" spans="1:8">
      <c r="A2" s="342" t="s">
        <v>88</v>
      </c>
      <c r="B2" s="343">
        <f>'1. key ratios'!B2</f>
        <v>46022</v>
      </c>
      <c r="C2" s="341"/>
    </row>
    <row r="3" spans="1:8">
      <c r="A3" s="340"/>
      <c r="B3" s="341"/>
      <c r="C3" s="341"/>
    </row>
    <row r="4" spans="1:8" ht="15" customHeight="1" thickBot="1">
      <c r="A4" s="499" t="s">
        <v>216</v>
      </c>
      <c r="B4" s="500" t="s">
        <v>87</v>
      </c>
      <c r="C4" s="501" t="s">
        <v>69</v>
      </c>
      <c r="D4" s="729"/>
    </row>
    <row r="5" spans="1:8" ht="15" customHeight="1">
      <c r="A5" s="493" t="s">
        <v>25</v>
      </c>
      <c r="B5" s="494"/>
      <c r="C5" s="502" t="str">
        <f>INT((MONTH($B$2))/3)&amp;"Q"&amp;"-"&amp;YEAR($B$2)</f>
        <v>4Q-2025</v>
      </c>
      <c r="D5" s="730" t="str">
        <f>IF(INT(MONTH($B$2))=3, "4"&amp;"Q"&amp;"-"&amp;YEAR($B$2)-1, IF(INT(MONTH($B$2))=6, "1"&amp;"Q"&amp;"-"&amp;YEAR($B$2), IF(INT(MONTH($B$2))=9, "2"&amp;"Q"&amp;"-"&amp;YEAR($B$2),IF(INT(MONTH($B$2))=12, "3"&amp;"Q"&amp;"-"&amp;YEAR($B$2), 0))))</f>
        <v>3Q-2025</v>
      </c>
      <c r="E5" s="502" t="str">
        <f>IF(INT(MONTH($B$2))=3, "3"&amp;"Q"&amp;"-"&amp;YEAR($B$2)-1, IF(INT(MONTH($B$2))=6, "4"&amp;"Q"&amp;"-"&amp;YEAR($B$2)-1, IF(INT(MONTH($B$2))=9, "1"&amp;"Q"&amp;"-"&amp;YEAR($B$2),IF(INT(MONTH($B$2))=12, "2"&amp;"Q"&amp;"-"&amp;YEAR($B$2), 0))))</f>
        <v>2Q-2025</v>
      </c>
      <c r="F5" s="502" t="str">
        <f>IF(INT(MONTH($B$2))=3, "2"&amp;"Q"&amp;"-"&amp;YEAR($B$2)-1, IF(INT(MONTH($B$2))=6, "3"&amp;"Q"&amp;"-"&amp;YEAR($B$2)-1, IF(INT(MONTH($B$2))=9, "4"&amp;"Q"&amp;"-"&amp;YEAR($B$2)-1,IF(INT(MONTH($B$2))=12, "1"&amp;"Q"&amp;"-"&amp;YEAR($B$2), 0))))</f>
        <v>1Q-2025</v>
      </c>
      <c r="G5" s="503" t="str">
        <f>IF(INT(MONTH($B$2))=3, "1"&amp;"Q"&amp;"-"&amp;YEAR($B$2)-1, IF(INT(MONTH($B$2))=6, "2"&amp;"Q"&amp;"-"&amp;YEAR($B$2)-1, IF(INT(MONTH($B$2))=9, "3"&amp;"Q"&amp;"-"&amp;YEAR($B$2)-1,IF(INT(MONTH($B$2))=12, "4"&amp;"Q"&amp;"-"&amp;YEAR($B$2)-1, 0))))</f>
        <v>4Q-2024</v>
      </c>
    </row>
    <row r="6" spans="1:8" ht="15" customHeight="1">
      <c r="A6" s="495">
        <v>1</v>
      </c>
      <c r="B6" s="496" t="s">
        <v>91</v>
      </c>
      <c r="C6" s="392">
        <v>475908069.42067045</v>
      </c>
      <c r="D6" s="731">
        <v>468606209.03590357</v>
      </c>
      <c r="E6" s="392">
        <v>470563128.5438292</v>
      </c>
      <c r="F6" s="399">
        <v>0</v>
      </c>
      <c r="G6" s="393">
        <v>0</v>
      </c>
    </row>
    <row r="7" spans="1:8" ht="15" customHeight="1">
      <c r="A7" s="495">
        <v>1.1000000000000001</v>
      </c>
      <c r="B7" s="505" t="s">
        <v>939</v>
      </c>
      <c r="C7" s="394">
        <v>471190481.47686964</v>
      </c>
      <c r="D7" s="732">
        <v>460539016.09141302</v>
      </c>
      <c r="E7" s="751">
        <v>461008125.31766635</v>
      </c>
      <c r="F7" s="394"/>
      <c r="G7" s="395"/>
    </row>
    <row r="8" spans="1:8" ht="27.6">
      <c r="A8" s="495" t="s">
        <v>129</v>
      </c>
      <c r="B8" s="505" t="s">
        <v>213</v>
      </c>
      <c r="C8" s="751">
        <v>394865.53847666149</v>
      </c>
      <c r="D8" s="732">
        <v>1366379.85</v>
      </c>
      <c r="E8" s="751">
        <v>1366379.85</v>
      </c>
      <c r="F8" s="394"/>
      <c r="G8" s="395"/>
    </row>
    <row r="9" spans="1:8" ht="15" customHeight="1">
      <c r="A9" s="495">
        <v>1.2</v>
      </c>
      <c r="B9" s="505" t="s">
        <v>21</v>
      </c>
      <c r="C9" s="394">
        <v>610070.06168999977</v>
      </c>
      <c r="D9" s="732">
        <v>589012.95668999979</v>
      </c>
      <c r="E9" s="751">
        <v>581639.28435999993</v>
      </c>
      <c r="F9" s="394"/>
      <c r="G9" s="395"/>
      <c r="H9" s="504"/>
    </row>
    <row r="10" spans="1:8" ht="15" customHeight="1">
      <c r="A10" s="495">
        <v>1.3</v>
      </c>
      <c r="B10" s="506" t="s">
        <v>66</v>
      </c>
      <c r="C10" s="394">
        <v>4107517.8821108225</v>
      </c>
      <c r="D10" s="732">
        <v>7478179.9878005143</v>
      </c>
      <c r="E10" s="751">
        <v>8973363.9418028705</v>
      </c>
      <c r="F10" s="394"/>
      <c r="G10" s="395"/>
    </row>
    <row r="11" spans="1:8" ht="15" customHeight="1">
      <c r="A11" s="495">
        <v>2</v>
      </c>
      <c r="B11" s="496" t="s">
        <v>92</v>
      </c>
      <c r="C11" s="394">
        <v>2260966.6136016287</v>
      </c>
      <c r="D11" s="732">
        <v>2753339.4471601588</v>
      </c>
      <c r="E11" s="751">
        <v>4930303.1623219214</v>
      </c>
      <c r="F11" s="394"/>
      <c r="G11" s="395"/>
    </row>
    <row r="12" spans="1:8" ht="15" customHeight="1">
      <c r="A12" s="495">
        <v>3</v>
      </c>
      <c r="B12" s="496" t="s">
        <v>90</v>
      </c>
      <c r="C12" s="394">
        <v>179898297.3575753</v>
      </c>
      <c r="D12" s="732">
        <v>151556553.58750001</v>
      </c>
      <c r="E12" s="751">
        <v>151556553.58750001</v>
      </c>
      <c r="F12" s="394"/>
      <c r="G12" s="395"/>
    </row>
    <row r="13" spans="1:8" ht="15" customHeight="1" thickBot="1">
      <c r="A13" s="497">
        <v>4</v>
      </c>
      <c r="B13" s="498" t="s">
        <v>130</v>
      </c>
      <c r="C13" s="396">
        <v>658067333.39184737</v>
      </c>
      <c r="D13" s="733">
        <v>622916102.07056379</v>
      </c>
      <c r="E13" s="396">
        <v>627049985.2936511</v>
      </c>
      <c r="F13" s="400">
        <v>0</v>
      </c>
      <c r="G13" s="397">
        <v>0</v>
      </c>
    </row>
    <row r="14" spans="1:8">
      <c r="B14" s="260"/>
    </row>
    <row r="15" spans="1:8">
      <c r="B15" s="260"/>
    </row>
    <row r="16" spans="1:8">
      <c r="B16" s="260"/>
      <c r="C16" s="693"/>
    </row>
    <row r="17" spans="2:2">
      <c r="B17" s="260"/>
    </row>
    <row r="18" spans="2:2">
      <c r="B18" s="26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2"/>
  <sheetViews>
    <sheetView showGridLines="0" zoomScale="80" zoomScaleNormal="70" workbookViewId="0">
      <pane xSplit="1" ySplit="4" topLeftCell="B5" activePane="bottomRight" state="frozen"/>
      <selection activeCell="C46" sqref="C46"/>
      <selection pane="topRight" activeCell="C46" sqref="C46"/>
      <selection pane="bottomLeft" activeCell="C46" sqref="C46"/>
      <selection pane="bottomRight" activeCell="B18" sqref="B18:B23"/>
    </sheetView>
  </sheetViews>
  <sheetFormatPr defaultRowHeight="13.8"/>
  <cols>
    <col min="1" max="1" width="12.77734375" style="9" customWidth="1"/>
    <col min="2" max="2" width="98.21875" style="9" bestFit="1" customWidth="1"/>
    <col min="3" max="3" width="34.21875" style="9" customWidth="1"/>
    <col min="4" max="16384" width="8.88671875" style="9"/>
  </cols>
  <sheetData>
    <row r="1" spans="1:8">
      <c r="A1" s="342" t="s">
        <v>869</v>
      </c>
      <c r="B1" s="344" t="str">
        <f>Info!C2</f>
        <v>კრისტალი</v>
      </c>
    </row>
    <row r="2" spans="1:8">
      <c r="A2" s="342" t="s">
        <v>88</v>
      </c>
      <c r="B2" s="343">
        <f>'1. key ratios'!B2</f>
        <v>46022</v>
      </c>
    </row>
    <row r="4" spans="1:8" ht="25.5" customHeight="1" thickBot="1">
      <c r="A4" s="575" t="s">
        <v>217</v>
      </c>
      <c r="B4" s="576" t="s">
        <v>907</v>
      </c>
      <c r="C4" s="577"/>
    </row>
    <row r="5" spans="1:8">
      <c r="A5" s="578"/>
      <c r="B5" s="579" t="s">
        <v>73</v>
      </c>
      <c r="C5" s="574" t="s">
        <v>382</v>
      </c>
    </row>
    <row r="6" spans="1:8">
      <c r="A6" s="3">
        <v>1</v>
      </c>
      <c r="B6" s="580" t="s">
        <v>947</v>
      </c>
      <c r="C6" s="581" t="s">
        <v>952</v>
      </c>
    </row>
    <row r="7" spans="1:8">
      <c r="A7" s="3">
        <v>2</v>
      </c>
      <c r="B7" s="580" t="s">
        <v>955</v>
      </c>
      <c r="C7" s="581" t="s">
        <v>1002</v>
      </c>
    </row>
    <row r="8" spans="1:8">
      <c r="A8" s="3">
        <v>3</v>
      </c>
      <c r="B8" s="580" t="s">
        <v>954</v>
      </c>
      <c r="C8" s="581" t="s">
        <v>953</v>
      </c>
    </row>
    <row r="9" spans="1:8">
      <c r="A9" s="3">
        <v>4</v>
      </c>
      <c r="B9" s="580" t="s">
        <v>956</v>
      </c>
      <c r="C9" s="581" t="s">
        <v>952</v>
      </c>
    </row>
    <row r="10" spans="1:8">
      <c r="A10" s="3">
        <v>5</v>
      </c>
      <c r="B10" s="580"/>
      <c r="C10" s="581"/>
    </row>
    <row r="11" spans="1:8">
      <c r="A11" s="3">
        <v>6</v>
      </c>
      <c r="B11" s="580"/>
      <c r="C11" s="581"/>
    </row>
    <row r="12" spans="1:8">
      <c r="A12" s="3">
        <v>7</v>
      </c>
      <c r="B12" s="580"/>
      <c r="C12" s="581"/>
      <c r="H12" s="260"/>
    </row>
    <row r="13" spans="1:8">
      <c r="A13" s="3">
        <v>8</v>
      </c>
      <c r="B13" s="580"/>
      <c r="C13" s="581"/>
    </row>
    <row r="14" spans="1:8">
      <c r="A14" s="3">
        <v>9</v>
      </c>
      <c r="B14" s="580"/>
      <c r="C14" s="581"/>
    </row>
    <row r="15" spans="1:8">
      <c r="A15" s="3">
        <v>10</v>
      </c>
      <c r="B15" s="580"/>
      <c r="C15" s="581"/>
    </row>
    <row r="16" spans="1:8">
      <c r="A16" s="3"/>
      <c r="B16" s="800"/>
      <c r="C16" s="801"/>
    </row>
    <row r="17" spans="1:3" ht="55.2">
      <c r="A17" s="3"/>
      <c r="B17" s="34" t="s">
        <v>74</v>
      </c>
      <c r="C17" s="36" t="s">
        <v>906</v>
      </c>
    </row>
    <row r="18" spans="1:3">
      <c r="A18" s="3">
        <v>1</v>
      </c>
      <c r="B18" s="580" t="s">
        <v>948</v>
      </c>
      <c r="C18" s="582" t="s">
        <v>962</v>
      </c>
    </row>
    <row r="19" spans="1:3">
      <c r="A19" s="3">
        <v>2</v>
      </c>
      <c r="B19" s="580" t="s">
        <v>957</v>
      </c>
      <c r="C19" s="582" t="s">
        <v>963</v>
      </c>
    </row>
    <row r="20" spans="1:3">
      <c r="A20" s="3">
        <v>3</v>
      </c>
      <c r="B20" s="580" t="s">
        <v>958</v>
      </c>
      <c r="C20" s="582" t="s">
        <v>964</v>
      </c>
    </row>
    <row r="21" spans="1:3">
      <c r="A21" s="3">
        <v>4</v>
      </c>
      <c r="B21" s="580" t="s">
        <v>959</v>
      </c>
      <c r="C21" s="582" t="s">
        <v>965</v>
      </c>
    </row>
    <row r="22" spans="1:3">
      <c r="A22" s="3">
        <v>5</v>
      </c>
      <c r="B22" s="580" t="s">
        <v>960</v>
      </c>
      <c r="C22" s="582" t="s">
        <v>966</v>
      </c>
    </row>
    <row r="23" spans="1:3">
      <c r="A23" s="3">
        <v>6</v>
      </c>
      <c r="B23" s="580" t="s">
        <v>961</v>
      </c>
      <c r="C23" s="582" t="s">
        <v>967</v>
      </c>
    </row>
    <row r="24" spans="1:3">
      <c r="A24" s="3">
        <v>7</v>
      </c>
      <c r="B24" s="580"/>
      <c r="C24" s="582"/>
    </row>
    <row r="25" spans="1:3">
      <c r="A25" s="3">
        <v>8</v>
      </c>
      <c r="B25" s="580"/>
      <c r="C25" s="582"/>
    </row>
    <row r="26" spans="1:3">
      <c r="A26" s="3">
        <v>9</v>
      </c>
      <c r="B26" s="580"/>
      <c r="C26" s="582"/>
    </row>
    <row r="27" spans="1:3" ht="15.75" customHeight="1">
      <c r="A27" s="3">
        <v>10</v>
      </c>
      <c r="B27" s="580"/>
      <c r="C27" s="583"/>
    </row>
    <row r="28" spans="1:3" ht="15.75" customHeight="1">
      <c r="A28" s="3"/>
      <c r="B28" s="580"/>
      <c r="C28" s="584"/>
    </row>
    <row r="29" spans="1:3" ht="30" customHeight="1">
      <c r="A29" s="3"/>
      <c r="B29" s="802" t="s">
        <v>75</v>
      </c>
      <c r="C29" s="803"/>
    </row>
    <row r="30" spans="1:3">
      <c r="A30" s="3">
        <v>1</v>
      </c>
      <c r="B30" s="591" t="s">
        <v>968</v>
      </c>
      <c r="C30" s="590">
        <v>0.40029999999999999</v>
      </c>
    </row>
    <row r="31" spans="1:3">
      <c r="A31" s="3">
        <v>2</v>
      </c>
      <c r="B31" s="591" t="s">
        <v>969</v>
      </c>
      <c r="C31" s="590">
        <v>0.188</v>
      </c>
    </row>
    <row r="32" spans="1:3">
      <c r="A32" s="3">
        <v>3</v>
      </c>
      <c r="B32" s="591" t="s">
        <v>947</v>
      </c>
      <c r="C32" s="590">
        <v>0.1202</v>
      </c>
    </row>
    <row r="33" spans="1:3">
      <c r="A33" s="3">
        <v>4</v>
      </c>
      <c r="B33" s="591" t="s">
        <v>970</v>
      </c>
      <c r="C33" s="590">
        <v>9.3100000000000002E-2</v>
      </c>
    </row>
    <row r="34" spans="1:3">
      <c r="A34" s="3">
        <v>5</v>
      </c>
      <c r="B34" s="591" t="s">
        <v>957</v>
      </c>
      <c r="C34" s="590">
        <v>5.7299999999999997E-2</v>
      </c>
    </row>
    <row r="35" spans="1:3">
      <c r="A35" s="3">
        <v>6</v>
      </c>
      <c r="B35" s="591" t="s">
        <v>971</v>
      </c>
      <c r="C35" s="590">
        <v>3.0800000000000001E-2</v>
      </c>
    </row>
    <row r="36" spans="1:3">
      <c r="A36" s="3">
        <v>7</v>
      </c>
      <c r="B36" s="591" t="s">
        <v>972</v>
      </c>
      <c r="C36" s="590">
        <v>2.63E-2</v>
      </c>
    </row>
    <row r="37" spans="1:3">
      <c r="A37" s="3">
        <v>8</v>
      </c>
      <c r="B37" s="591" t="s">
        <v>974</v>
      </c>
      <c r="C37" s="590">
        <v>1.6500000000000001E-2</v>
      </c>
    </row>
    <row r="38" spans="1:3">
      <c r="A38" s="3">
        <v>9</v>
      </c>
      <c r="B38" s="591" t="s">
        <v>973</v>
      </c>
      <c r="C38" s="590">
        <v>1.2699999999999999E-2</v>
      </c>
    </row>
    <row r="39" spans="1:3">
      <c r="A39" s="3">
        <v>10</v>
      </c>
      <c r="B39" s="591"/>
      <c r="C39" s="590"/>
    </row>
    <row r="40" spans="1:3" ht="15.75" customHeight="1">
      <c r="A40" s="3"/>
      <c r="B40" s="586"/>
      <c r="C40" s="585"/>
    </row>
    <row r="41" spans="1:3" ht="28.8" customHeight="1">
      <c r="A41" s="3"/>
      <c r="B41" s="802" t="s">
        <v>142</v>
      </c>
      <c r="C41" s="803"/>
    </row>
    <row r="42" spans="1:3">
      <c r="A42" s="3">
        <v>1</v>
      </c>
      <c r="B42" s="698" t="s">
        <v>981</v>
      </c>
      <c r="C42" s="592">
        <v>0.121</v>
      </c>
    </row>
    <row r="43" spans="1:3">
      <c r="A43" s="697">
        <v>2</v>
      </c>
      <c r="B43" s="699" t="s">
        <v>970</v>
      </c>
      <c r="C43" s="593">
        <v>9.3100000000000002E-2</v>
      </c>
    </row>
    <row r="44" spans="1:3">
      <c r="A44" s="3">
        <v>3</v>
      </c>
      <c r="B44" s="699" t="s">
        <v>957</v>
      </c>
      <c r="C44" s="593">
        <v>5.7299999999999997E-2</v>
      </c>
    </row>
    <row r="45" spans="1:3">
      <c r="A45" s="697">
        <v>4</v>
      </c>
      <c r="B45" s="699" t="s">
        <v>982</v>
      </c>
      <c r="C45" s="593">
        <v>0.40029999999999999</v>
      </c>
    </row>
    <row r="46" spans="1:3">
      <c r="A46" s="3">
        <v>5</v>
      </c>
      <c r="B46" s="699" t="s">
        <v>983</v>
      </c>
      <c r="C46" s="593">
        <v>0.188</v>
      </c>
    </row>
    <row r="47" spans="1:3">
      <c r="A47" s="697">
        <v>6</v>
      </c>
      <c r="B47" s="699" t="s">
        <v>984</v>
      </c>
      <c r="C47" s="593">
        <v>0.1759</v>
      </c>
    </row>
    <row r="48" spans="1:3">
      <c r="A48" s="3">
        <v>7</v>
      </c>
      <c r="B48" s="699" t="s">
        <v>985</v>
      </c>
      <c r="C48" s="593">
        <v>0.1759</v>
      </c>
    </row>
    <row r="49" spans="1:3">
      <c r="A49" s="697">
        <v>8</v>
      </c>
      <c r="B49" s="699" t="s">
        <v>986</v>
      </c>
      <c r="C49" s="593">
        <v>0.188</v>
      </c>
    </row>
    <row r="50" spans="1:3">
      <c r="A50" s="3">
        <v>9</v>
      </c>
      <c r="B50" s="699" t="s">
        <v>987</v>
      </c>
      <c r="C50" s="593">
        <v>0.14899999999999999</v>
      </c>
    </row>
    <row r="51" spans="1:3">
      <c r="A51" s="697">
        <v>10</v>
      </c>
      <c r="B51" s="699" t="s">
        <v>988</v>
      </c>
      <c r="C51" s="593">
        <v>5.2299999999999999E-2</v>
      </c>
    </row>
    <row r="52" spans="1:3">
      <c r="A52" s="3">
        <v>11</v>
      </c>
      <c r="B52" s="699" t="s">
        <v>989</v>
      </c>
      <c r="C52" s="593">
        <v>6.54E-2</v>
      </c>
    </row>
    <row r="53" spans="1:3">
      <c r="A53" s="697">
        <v>12</v>
      </c>
      <c r="B53" s="699" t="s">
        <v>990</v>
      </c>
      <c r="C53" s="593">
        <v>6.2700000000000006E-2</v>
      </c>
    </row>
    <row r="54" spans="1:3">
      <c r="A54" s="3">
        <v>13</v>
      </c>
      <c r="B54" s="699" t="s">
        <v>991</v>
      </c>
      <c r="C54" s="593">
        <v>5.3400000000000003E-2</v>
      </c>
    </row>
    <row r="55" spans="1:3">
      <c r="A55" s="697">
        <v>14</v>
      </c>
      <c r="B55" s="699" t="s">
        <v>992</v>
      </c>
      <c r="C55" s="593">
        <v>6.54E-2</v>
      </c>
    </row>
    <row r="56" spans="1:3">
      <c r="A56" s="3">
        <v>15</v>
      </c>
      <c r="B56" s="699" t="s">
        <v>993</v>
      </c>
      <c r="C56" s="593">
        <v>6.54E-2</v>
      </c>
    </row>
    <row r="57" spans="1:3">
      <c r="A57" s="697">
        <v>16</v>
      </c>
      <c r="B57" s="699" t="s">
        <v>994</v>
      </c>
      <c r="C57" s="593">
        <v>6.54E-2</v>
      </c>
    </row>
    <row r="58" spans="1:3">
      <c r="A58" s="3">
        <v>17</v>
      </c>
      <c r="B58" s="699" t="s">
        <v>995</v>
      </c>
      <c r="C58" s="593">
        <v>6.54E-2</v>
      </c>
    </row>
    <row r="59" spans="1:3">
      <c r="A59" s="697">
        <v>18</v>
      </c>
      <c r="B59" s="698" t="s">
        <v>996</v>
      </c>
      <c r="C59" s="592">
        <v>6.54E-2</v>
      </c>
    </row>
    <row r="60" spans="1:3">
      <c r="A60" s="3">
        <v>19</v>
      </c>
      <c r="B60" s="699" t="s">
        <v>997</v>
      </c>
      <c r="C60" s="593">
        <v>9.4E-2</v>
      </c>
    </row>
    <row r="61" spans="1:3">
      <c r="A61" s="697">
        <v>20</v>
      </c>
      <c r="B61" s="586"/>
      <c r="C61" s="593"/>
    </row>
    <row r="62" spans="1:3" ht="14.4" thickBot="1">
      <c r="A62" s="587"/>
      <c r="B62" s="588"/>
      <c r="C62" s="589"/>
    </row>
  </sheetData>
  <mergeCells count="3">
    <mergeCell ref="B16:C16"/>
    <mergeCell ref="B41:C41"/>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7"/>
  <sheetViews>
    <sheetView zoomScale="70" zoomScaleNormal="70" workbookViewId="0">
      <pane xSplit="2" ySplit="7" topLeftCell="C22" activePane="bottomRight" state="frozen"/>
      <selection activeCell="C46" sqref="C46"/>
      <selection pane="topRight" activeCell="C46" sqref="C46"/>
      <selection pane="bottomLeft" activeCell="C46" sqref="C46"/>
      <selection pane="bottomRight" activeCell="C8" sqref="C8:D36"/>
    </sheetView>
  </sheetViews>
  <sheetFormatPr defaultRowHeight="13.8"/>
  <cols>
    <col min="1" max="1" width="13.88671875" style="9" customWidth="1"/>
    <col min="2" max="2" width="47.5546875" style="9" customWidth="1"/>
    <col min="3" max="3" width="28" style="9" customWidth="1"/>
    <col min="4" max="4" width="25.6640625" style="9" customWidth="1"/>
    <col min="5" max="5" width="18.77734375" style="9" customWidth="1"/>
    <col min="6" max="6" width="12" style="345" bestFit="1" customWidth="1"/>
    <col min="7" max="16384" width="8.88671875" style="345"/>
  </cols>
  <sheetData>
    <row r="1" spans="1:5">
      <c r="A1" s="342" t="s">
        <v>869</v>
      </c>
      <c r="B1" s="344" t="str">
        <f>Info!C2</f>
        <v>კრისტალი</v>
      </c>
    </row>
    <row r="2" spans="1:5" s="340" customFormat="1" ht="15.75" customHeight="1">
      <c r="A2" s="342" t="s">
        <v>88</v>
      </c>
      <c r="B2" s="343">
        <f>'1. key ratios'!B2</f>
        <v>46022</v>
      </c>
    </row>
    <row r="3" spans="1:5" s="340" customFormat="1" ht="15.75" customHeight="1"/>
    <row r="4" spans="1:5" s="340" customFormat="1" ht="15.75" customHeight="1" thickBot="1">
      <c r="A4" s="602" t="s">
        <v>218</v>
      </c>
      <c r="B4" s="187" t="s">
        <v>136</v>
      </c>
      <c r="C4" s="603"/>
      <c r="D4" s="603"/>
      <c r="E4" s="604" t="s">
        <v>69</v>
      </c>
    </row>
    <row r="5" spans="1:5" s="13" customFormat="1" ht="17.55" customHeight="1">
      <c r="A5" s="188"/>
      <c r="B5" s="189"/>
      <c r="C5" s="190" t="s">
        <v>0</v>
      </c>
      <c r="D5" s="190" t="s">
        <v>1</v>
      </c>
      <c r="E5" s="191" t="s">
        <v>2</v>
      </c>
    </row>
    <row r="6" spans="1:5" ht="14.55" customHeight="1">
      <c r="A6" s="605"/>
      <c r="B6" s="804" t="s">
        <v>116</v>
      </c>
      <c r="C6" s="804" t="s">
        <v>767</v>
      </c>
      <c r="D6" s="805" t="s">
        <v>115</v>
      </c>
      <c r="E6" s="806"/>
    </row>
    <row r="7" spans="1:5" ht="99.6" customHeight="1">
      <c r="A7" s="605"/>
      <c r="B7" s="804"/>
      <c r="C7" s="804"/>
      <c r="D7" s="192" t="s">
        <v>114</v>
      </c>
      <c r="E7" s="193" t="s">
        <v>309</v>
      </c>
    </row>
    <row r="8" spans="1:5" ht="22.5" customHeight="1">
      <c r="A8" s="606">
        <v>1</v>
      </c>
      <c r="B8" s="607" t="s">
        <v>763</v>
      </c>
      <c r="C8" s="608">
        <v>57501561.104499996</v>
      </c>
      <c r="D8" s="608">
        <v>0</v>
      </c>
      <c r="E8" s="609">
        <f t="shared" ref="E8" si="0">SUM(E9:E11)</f>
        <v>57501561.104499996</v>
      </c>
    </row>
    <row r="9" spans="1:5">
      <c r="A9" s="606">
        <v>1.1000000000000001</v>
      </c>
      <c r="B9" s="610" t="s">
        <v>77</v>
      </c>
      <c r="C9" s="608">
        <v>29517349.413499996</v>
      </c>
      <c r="D9" s="608"/>
      <c r="E9" s="609">
        <f>C9-D9</f>
        <v>29517349.413499996</v>
      </c>
    </row>
    <row r="10" spans="1:5">
      <c r="A10" s="606">
        <v>1.2</v>
      </c>
      <c r="B10" s="610" t="s">
        <v>78</v>
      </c>
      <c r="C10" s="608">
        <v>16374129.880000001</v>
      </c>
      <c r="D10" s="608"/>
      <c r="E10" s="609">
        <f t="shared" ref="E10:E15" si="1">C10-D10</f>
        <v>16374129.880000001</v>
      </c>
    </row>
    <row r="11" spans="1:5">
      <c r="A11" s="606">
        <v>1.3</v>
      </c>
      <c r="B11" s="610" t="s">
        <v>901</v>
      </c>
      <c r="C11" s="608">
        <v>11610081.810999999</v>
      </c>
      <c r="D11" s="608"/>
      <c r="E11" s="609">
        <f t="shared" si="1"/>
        <v>11610081.810999999</v>
      </c>
    </row>
    <row r="12" spans="1:5">
      <c r="A12" s="606">
        <v>2</v>
      </c>
      <c r="B12" s="611" t="s">
        <v>652</v>
      </c>
      <c r="C12" s="608">
        <v>0</v>
      </c>
      <c r="D12" s="608"/>
      <c r="E12" s="609">
        <f t="shared" si="1"/>
        <v>0</v>
      </c>
    </row>
    <row r="13" spans="1:5" ht="27.6">
      <c r="A13" s="606">
        <v>2.1</v>
      </c>
      <c r="B13" s="612" t="s">
        <v>653</v>
      </c>
      <c r="C13" s="608">
        <v>0</v>
      </c>
      <c r="D13" s="608"/>
      <c r="E13" s="609">
        <f t="shared" si="1"/>
        <v>0</v>
      </c>
    </row>
    <row r="14" spans="1:5" ht="34.049999999999997" customHeight="1">
      <c r="A14" s="606">
        <v>3</v>
      </c>
      <c r="B14" s="613" t="s">
        <v>654</v>
      </c>
      <c r="C14" s="608">
        <v>0</v>
      </c>
      <c r="D14" s="608"/>
      <c r="E14" s="609">
        <f t="shared" si="1"/>
        <v>0</v>
      </c>
    </row>
    <row r="15" spans="1:5" ht="32.549999999999997" customHeight="1">
      <c r="A15" s="606">
        <v>4</v>
      </c>
      <c r="B15" s="614" t="s">
        <v>655</v>
      </c>
      <c r="C15" s="608">
        <v>0</v>
      </c>
      <c r="D15" s="608"/>
      <c r="E15" s="609">
        <f t="shared" si="1"/>
        <v>0</v>
      </c>
    </row>
    <row r="16" spans="1:5" ht="22.95" customHeight="1">
      <c r="A16" s="606">
        <v>5</v>
      </c>
      <c r="B16" s="614" t="s">
        <v>656</v>
      </c>
      <c r="C16" s="608">
        <v>0</v>
      </c>
      <c r="D16" s="608">
        <v>0</v>
      </c>
      <c r="E16" s="609">
        <f t="shared" ref="E16" si="2">SUM(E17:E19)</f>
        <v>0</v>
      </c>
    </row>
    <row r="17" spans="1:5">
      <c r="A17" s="606">
        <v>5.0999999999999996</v>
      </c>
      <c r="B17" s="615" t="s">
        <v>657</v>
      </c>
      <c r="C17" s="608">
        <v>0</v>
      </c>
      <c r="D17" s="608"/>
      <c r="E17" s="609">
        <f t="shared" ref="E17:E19" si="3">C17-D17</f>
        <v>0</v>
      </c>
    </row>
    <row r="18" spans="1:5">
      <c r="A18" s="606">
        <v>5.2</v>
      </c>
      <c r="B18" s="615" t="s">
        <v>500</v>
      </c>
      <c r="C18" s="608">
        <v>0</v>
      </c>
      <c r="D18" s="608"/>
      <c r="E18" s="609">
        <f t="shared" si="3"/>
        <v>0</v>
      </c>
    </row>
    <row r="19" spans="1:5">
      <c r="A19" s="606">
        <v>5.3</v>
      </c>
      <c r="B19" s="615" t="s">
        <v>658</v>
      </c>
      <c r="C19" s="608">
        <v>0</v>
      </c>
      <c r="D19" s="608"/>
      <c r="E19" s="609">
        <f t="shared" si="3"/>
        <v>0</v>
      </c>
    </row>
    <row r="20" spans="1:5" ht="27.6">
      <c r="A20" s="606">
        <v>6</v>
      </c>
      <c r="B20" s="613" t="s">
        <v>659</v>
      </c>
      <c r="C20" s="608">
        <v>568057791.8892411</v>
      </c>
      <c r="D20" s="608">
        <v>0</v>
      </c>
      <c r="E20" s="609">
        <f t="shared" ref="E20" si="4">SUM(E21:E22)</f>
        <v>568057791.8892411</v>
      </c>
    </row>
    <row r="21" spans="1:5">
      <c r="A21" s="606">
        <v>6.1</v>
      </c>
      <c r="B21" s="615" t="s">
        <v>500</v>
      </c>
      <c r="C21" s="608">
        <v>0</v>
      </c>
      <c r="D21" s="616"/>
      <c r="E21" s="609">
        <f t="shared" ref="E21:E24" si="5">C21-D21</f>
        <v>0</v>
      </c>
    </row>
    <row r="22" spans="1:5">
      <c r="A22" s="606">
        <v>6.2</v>
      </c>
      <c r="B22" s="615" t="s">
        <v>658</v>
      </c>
      <c r="C22" s="608">
        <v>568057791.8892411</v>
      </c>
      <c r="D22" s="616"/>
      <c r="E22" s="609">
        <f t="shared" si="5"/>
        <v>568057791.8892411</v>
      </c>
    </row>
    <row r="23" spans="1:5" ht="27.6">
      <c r="A23" s="606">
        <v>7</v>
      </c>
      <c r="B23" s="617" t="s">
        <v>660</v>
      </c>
      <c r="C23" s="608">
        <v>609791</v>
      </c>
      <c r="D23" s="616">
        <v>609791</v>
      </c>
      <c r="E23" s="609">
        <f t="shared" si="5"/>
        <v>0</v>
      </c>
    </row>
    <row r="24" spans="1:5" ht="27.6">
      <c r="A24" s="606">
        <v>8</v>
      </c>
      <c r="B24" s="617" t="s">
        <v>661</v>
      </c>
      <c r="C24" s="608">
        <v>0</v>
      </c>
      <c r="D24" s="616"/>
      <c r="E24" s="609">
        <f t="shared" si="5"/>
        <v>0</v>
      </c>
    </row>
    <row r="25" spans="1:5">
      <c r="A25" s="606">
        <v>9</v>
      </c>
      <c r="B25" s="614" t="s">
        <v>662</v>
      </c>
      <c r="C25" s="616">
        <v>22672753.342881359</v>
      </c>
      <c r="D25" s="616">
        <v>0</v>
      </c>
      <c r="E25" s="618">
        <f t="shared" ref="E25" si="6">SUM(E26:E27)</f>
        <v>22672753.342881359</v>
      </c>
    </row>
    <row r="26" spans="1:5">
      <c r="A26" s="606">
        <v>9.1</v>
      </c>
      <c r="B26" s="619" t="s">
        <v>663</v>
      </c>
      <c r="C26" s="608">
        <v>22672753.342881359</v>
      </c>
      <c r="D26" s="616"/>
      <c r="E26" s="609">
        <f t="shared" ref="E26:E27" si="7">C26-D26</f>
        <v>22672753.342881359</v>
      </c>
    </row>
    <row r="27" spans="1:5">
      <c r="A27" s="606">
        <v>9.1999999999999993</v>
      </c>
      <c r="B27" s="619" t="s">
        <v>664</v>
      </c>
      <c r="C27" s="608">
        <v>0</v>
      </c>
      <c r="D27" s="616"/>
      <c r="E27" s="609">
        <f t="shared" si="7"/>
        <v>0</v>
      </c>
    </row>
    <row r="28" spans="1:5">
      <c r="A28" s="606">
        <v>10</v>
      </c>
      <c r="B28" s="614" t="s">
        <v>36</v>
      </c>
      <c r="C28" s="616">
        <v>7511205.5999999996</v>
      </c>
      <c r="D28" s="616">
        <v>7511205.5999999996</v>
      </c>
      <c r="E28" s="618">
        <f t="shared" ref="E28" si="8">SUM(E29:E30)</f>
        <v>0</v>
      </c>
    </row>
    <row r="29" spans="1:5">
      <c r="A29" s="606">
        <v>10.1</v>
      </c>
      <c r="B29" s="619" t="s">
        <v>665</v>
      </c>
      <c r="C29" s="608">
        <v>0</v>
      </c>
      <c r="D29" s="616"/>
      <c r="E29" s="609">
        <f t="shared" ref="E29:E30" si="9">C29-D29</f>
        <v>0</v>
      </c>
    </row>
    <row r="30" spans="1:5">
      <c r="A30" s="606">
        <v>10.199999999999999</v>
      </c>
      <c r="B30" s="619" t="s">
        <v>666</v>
      </c>
      <c r="C30" s="608">
        <v>7511205.5999999996</v>
      </c>
      <c r="D30" s="616">
        <v>7511205.5999999996</v>
      </c>
      <c r="E30" s="609">
        <f t="shared" si="9"/>
        <v>0</v>
      </c>
    </row>
    <row r="31" spans="1:5">
      <c r="A31" s="606">
        <v>11</v>
      </c>
      <c r="B31" s="614" t="s">
        <v>667</v>
      </c>
      <c r="C31" s="616">
        <v>4221870.0096963299</v>
      </c>
      <c r="D31" s="616">
        <v>0</v>
      </c>
      <c r="E31" s="618">
        <f t="shared" ref="E31" si="10">SUM(E32:E33)</f>
        <v>4221870.0096963299</v>
      </c>
    </row>
    <row r="32" spans="1:5">
      <c r="A32" s="606">
        <v>11.1</v>
      </c>
      <c r="B32" s="619" t="s">
        <v>668</v>
      </c>
      <c r="C32" s="608">
        <v>3827004.4712196682</v>
      </c>
      <c r="D32" s="616"/>
      <c r="E32" s="609">
        <f t="shared" ref="E32:E36" si="11">C32-D32</f>
        <v>3827004.4712196682</v>
      </c>
    </row>
    <row r="33" spans="1:5">
      <c r="A33" s="606">
        <v>11.2</v>
      </c>
      <c r="B33" s="619" t="s">
        <v>669</v>
      </c>
      <c r="C33" s="608">
        <v>394865.53847666149</v>
      </c>
      <c r="D33" s="616"/>
      <c r="E33" s="609">
        <f t="shared" si="11"/>
        <v>394865.53847666149</v>
      </c>
    </row>
    <row r="34" spans="1:5">
      <c r="A34" s="606">
        <v>13</v>
      </c>
      <c r="B34" s="614" t="s">
        <v>79</v>
      </c>
      <c r="C34" s="608">
        <v>9914887.5546185616</v>
      </c>
      <c r="D34" s="616"/>
      <c r="E34" s="609">
        <f t="shared" si="11"/>
        <v>9914887.5546185616</v>
      </c>
    </row>
    <row r="35" spans="1:5">
      <c r="A35" s="606">
        <v>13.1</v>
      </c>
      <c r="B35" s="620" t="s">
        <v>670</v>
      </c>
      <c r="C35" s="608">
        <v>3206755.12</v>
      </c>
      <c r="D35" s="616"/>
      <c r="E35" s="609">
        <f t="shared" si="11"/>
        <v>3206755.12</v>
      </c>
    </row>
    <row r="36" spans="1:5">
      <c r="A36" s="606">
        <v>13.2</v>
      </c>
      <c r="B36" s="620" t="s">
        <v>671</v>
      </c>
      <c r="C36" s="608">
        <v>0</v>
      </c>
      <c r="D36" s="616"/>
      <c r="E36" s="609">
        <f t="shared" si="11"/>
        <v>0</v>
      </c>
    </row>
    <row r="37" spans="1:5" ht="42" thickBot="1">
      <c r="A37" s="621"/>
      <c r="B37" s="194" t="s">
        <v>277</v>
      </c>
      <c r="C37" s="622">
        <f>SUM(C8,C12,C14,C15,C16,C20,C23,C24,C25,C28,C31,C34)</f>
        <v>670489860.50093734</v>
      </c>
      <c r="D37" s="622">
        <f t="shared" ref="D37" si="12">SUM(D8,D12,D14,D15,D16,D20,D23,D24,D25,D28,D31,D34)</f>
        <v>8120996.5999999996</v>
      </c>
      <c r="E37" s="623">
        <f>SUM(E8,E12,E14,E15,E16,E20,E23,E24,E25,E28,E31,E34)</f>
        <v>662368863.90093732</v>
      </c>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0" zoomScaleNormal="70" workbookViewId="0">
      <pane xSplit="1" ySplit="4" topLeftCell="B5" activePane="bottomRight" state="frozen"/>
      <selection activeCell="C46" sqref="C46"/>
      <selection pane="topRight" activeCell="C46" sqref="C46"/>
      <selection pane="bottomLeft" activeCell="C46" sqref="C46"/>
      <selection pane="bottomRight" activeCell="C13" sqref="C13"/>
    </sheetView>
  </sheetViews>
  <sheetFormatPr defaultRowHeight="13.8" outlineLevelRow="1"/>
  <cols>
    <col min="1" max="1" width="12.6640625" style="9" customWidth="1"/>
    <col min="2" max="2" width="114.21875" style="9" customWidth="1"/>
    <col min="3" max="3" width="18.77734375" style="9" customWidth="1"/>
    <col min="4" max="4" width="7.21875" style="692" customWidth="1"/>
    <col min="5" max="16384" width="8.88671875" style="345"/>
  </cols>
  <sheetData>
    <row r="1" spans="1:4">
      <c r="A1" s="342" t="s">
        <v>869</v>
      </c>
      <c r="B1" s="344" t="str">
        <f>Info!C2</f>
        <v>კრისტალი</v>
      </c>
    </row>
    <row r="2" spans="1:4" s="340" customFormat="1" ht="15.75" customHeight="1">
      <c r="A2" s="342" t="s">
        <v>88</v>
      </c>
      <c r="B2" s="343">
        <f>'1. key ratios'!B2</f>
        <v>46022</v>
      </c>
      <c r="C2" s="9"/>
      <c r="D2" s="692"/>
    </row>
    <row r="3" spans="1:4" s="340" customFormat="1" ht="15.75" customHeight="1">
      <c r="C3" s="9"/>
      <c r="D3" s="692"/>
    </row>
    <row r="4" spans="1:4" s="340" customFormat="1" ht="28.2" thickBot="1">
      <c r="A4" s="340" t="s">
        <v>219</v>
      </c>
      <c r="B4" s="195" t="s">
        <v>139</v>
      </c>
      <c r="C4" s="604" t="s">
        <v>69</v>
      </c>
      <c r="D4" s="692"/>
    </row>
    <row r="5" spans="1:4" ht="27.6">
      <c r="A5" s="287">
        <v>1</v>
      </c>
      <c r="B5" s="643" t="s">
        <v>649</v>
      </c>
      <c r="C5" s="640">
        <v>662368863.90093732</v>
      </c>
    </row>
    <row r="6" spans="1:4">
      <c r="A6" s="196">
        <v>2.1</v>
      </c>
      <c r="B6" s="199" t="s">
        <v>772</v>
      </c>
      <c r="C6" s="708">
        <v>2435483.6339999991</v>
      </c>
    </row>
    <row r="7" spans="1:4" s="646" customFormat="1" ht="27.6" outlineLevel="1">
      <c r="A7" s="197">
        <v>2.2000000000000002</v>
      </c>
      <c r="B7" s="198" t="s">
        <v>773</v>
      </c>
      <c r="C7" s="645">
        <v>286186623.91600001</v>
      </c>
      <c r="D7" s="692"/>
    </row>
    <row r="8" spans="1:4" s="646" customFormat="1" ht="27.6">
      <c r="A8" s="197">
        <v>3</v>
      </c>
      <c r="B8" s="647" t="s">
        <v>650</v>
      </c>
      <c r="C8" s="641">
        <v>950990971.45093727</v>
      </c>
      <c r="D8" s="692"/>
    </row>
    <row r="9" spans="1:4">
      <c r="A9" s="196">
        <v>4</v>
      </c>
      <c r="B9" s="199" t="s">
        <v>137</v>
      </c>
      <c r="C9" s="644">
        <v>0</v>
      </c>
    </row>
    <row r="10" spans="1:4" s="646" customFormat="1" ht="27.6" outlineLevel="1">
      <c r="A10" s="197">
        <v>5.0999999999999996</v>
      </c>
      <c r="B10" s="198" t="s">
        <v>143</v>
      </c>
      <c r="C10" s="645">
        <v>-1825413.5723099993</v>
      </c>
      <c r="D10" s="692"/>
    </row>
    <row r="11" spans="1:4" s="646" customFormat="1" ht="27.6" outlineLevel="1">
      <c r="A11" s="197">
        <v>5.2</v>
      </c>
      <c r="B11" s="198" t="s">
        <v>144</v>
      </c>
      <c r="C11" s="707">
        <v>-281980536.76686335</v>
      </c>
      <c r="D11" s="692"/>
    </row>
    <row r="12" spans="1:4" s="646" customFormat="1">
      <c r="A12" s="197">
        <v>6</v>
      </c>
      <c r="B12" s="198" t="s">
        <v>940</v>
      </c>
      <c r="C12" s="644">
        <v>0</v>
      </c>
      <c r="D12" s="692"/>
    </row>
    <row r="13" spans="1:4" s="646" customFormat="1" ht="14.4" thickBot="1">
      <c r="A13" s="185">
        <v>7</v>
      </c>
      <c r="B13" s="648" t="s">
        <v>138</v>
      </c>
      <c r="C13" s="642">
        <f>SUM(C8:C12)</f>
        <v>667185021.11176395</v>
      </c>
      <c r="D13" s="692"/>
    </row>
    <row r="15" spans="1:4">
      <c r="B15" s="260"/>
    </row>
    <row r="17" spans="2:2">
      <c r="B17" s="8"/>
    </row>
    <row r="18" spans="2:2">
      <c r="B18" s="8"/>
    </row>
    <row r="19" spans="2:2">
      <c r="B19" s="8"/>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F4FB51B6-79FD-44F4-88DE-F306D9875A4F}">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2026-05-05T20:16:19Z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c79fde5e-736b-42ca-bc41-ddb220af6442</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