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3_ncr:1_{B138D2D8-4484-4B39-81A7-11C9FB3BF86B}" xr6:coauthVersionLast="47" xr6:coauthVersionMax="47" xr10:uidLastSave="{00000000-0000-0000-0000-000000000000}"/>
  <bookViews>
    <workbookView xWindow="-108" yWindow="-108" windowWidth="23256" windowHeight="13896" tabRatio="947" activeTab="1"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5.2. CVA" sheetId="105" r:id="rId19"/>
    <sheet name="16. NSFR" sheetId="80" r:id="rId20"/>
    <sheet name=" 17. Residual Maturity" sheetId="95" r:id="rId21"/>
    <sheet name="18. Assets by Exposure classes" sheetId="96" r:id="rId22"/>
    <sheet name="19. Assets by Risk Sectors" sheetId="97" r:id="rId23"/>
    <sheet name="20. Reserves" sheetId="98" r:id="rId24"/>
    <sheet name="21. NPL" sheetId="99" r:id="rId25"/>
    <sheet name="22. Quality" sheetId="100" r:id="rId26"/>
    <sheet name="23. LTV" sheetId="101" r:id="rId27"/>
    <sheet name="24. Risk Sector" sheetId="102" r:id="rId28"/>
    <sheet name="25. Collateral" sheetId="103" r:id="rId29"/>
    <sheet name="26. Retail Products" sheetId="104" r:id="rId30"/>
    <sheet name="Instruction" sheetId="90" r:id="rId31"/>
  </sheets>
  <definedNames>
    <definedName name="_cur1">#REF!</definedName>
    <definedName name="_cur2">#REF!</definedName>
    <definedName name="_xlnm._FilterDatabase" localSheetId="30" hidden="1">Instruction!$A$108:$C$112</definedName>
    <definedName name="_Key1" hidden="1">#REF!</definedName>
    <definedName name="_Order1" hidden="1">255</definedName>
    <definedName name="_Order2" hidden="1">255</definedName>
    <definedName name="_Parse_In" hidden="1">#REF!</definedName>
    <definedName name="_Sort" hidden="1">#REF!</definedName>
    <definedName name="_sum1">#REF!</definedName>
    <definedName name="_sum2">#REF!</definedName>
    <definedName name="a" hidden="1">#REF!</definedName>
    <definedName name="aaaaaaaaa" hidden="1">#REF!</definedName>
    <definedName name="ACC_BALACC" localSheetId="20">#REF!</definedName>
    <definedName name="ACC_BALACC" localSheetId="18">#REF!</definedName>
    <definedName name="ACC_BALACC" localSheetId="2">#REF!</definedName>
    <definedName name="ACC_BALACC" localSheetId="24">#REF!</definedName>
    <definedName name="ACC_BALACC" localSheetId="25">#REF!</definedName>
    <definedName name="ACC_BALACC" localSheetId="26">#REF!</definedName>
    <definedName name="ACC_BALACC" localSheetId="27">#REF!</definedName>
    <definedName name="ACC_BALACC" localSheetId="3">#REF!</definedName>
    <definedName name="ACC_BALACC" localSheetId="4">#REF!</definedName>
    <definedName name="ACC_BALACC" localSheetId="10">#REF!</definedName>
    <definedName name="ACC_BALACC">#REF!</definedName>
    <definedName name="ACC_CRS" localSheetId="20">#REF!</definedName>
    <definedName name="ACC_CRS" localSheetId="18">#REF!</definedName>
    <definedName name="ACC_CRS" localSheetId="2">#REF!</definedName>
    <definedName name="ACC_CRS" localSheetId="24">#REF!</definedName>
    <definedName name="ACC_CRS" localSheetId="25">#REF!</definedName>
    <definedName name="ACC_CRS" localSheetId="26">#REF!</definedName>
    <definedName name="ACC_CRS" localSheetId="27">#REF!</definedName>
    <definedName name="ACC_CRS" localSheetId="3">#REF!</definedName>
    <definedName name="ACC_CRS" localSheetId="4">#REF!</definedName>
    <definedName name="ACC_CRS" localSheetId="10">#REF!</definedName>
    <definedName name="ACC_CRS">#REF!</definedName>
    <definedName name="ACC_DBS" localSheetId="20">#REF!</definedName>
    <definedName name="ACC_DBS" localSheetId="18">#REF!</definedName>
    <definedName name="ACC_DBS" localSheetId="2">#REF!</definedName>
    <definedName name="ACC_DBS" localSheetId="24">#REF!</definedName>
    <definedName name="ACC_DBS" localSheetId="25">#REF!</definedName>
    <definedName name="ACC_DBS" localSheetId="26">#REF!</definedName>
    <definedName name="ACC_DBS" localSheetId="27">#REF!</definedName>
    <definedName name="ACC_DBS" localSheetId="3">#REF!</definedName>
    <definedName name="ACC_DBS" localSheetId="4">#REF!</definedName>
    <definedName name="ACC_DBS" localSheetId="10">#REF!</definedName>
    <definedName name="ACC_DBS">#REF!</definedName>
    <definedName name="ACC_ISO" localSheetId="20">#REF!</definedName>
    <definedName name="ACC_ISO" localSheetId="18">#REF!</definedName>
    <definedName name="ACC_ISO" localSheetId="2">#REF!</definedName>
    <definedName name="ACC_ISO" localSheetId="24">#REF!</definedName>
    <definedName name="ACC_ISO" localSheetId="25">#REF!</definedName>
    <definedName name="ACC_ISO" localSheetId="26">#REF!</definedName>
    <definedName name="ACC_ISO" localSheetId="27">#REF!</definedName>
    <definedName name="ACC_ISO" localSheetId="3">#REF!</definedName>
    <definedName name="ACC_ISO" localSheetId="4">#REF!</definedName>
    <definedName name="ACC_ISO" localSheetId="10">#REF!</definedName>
    <definedName name="ACC_ISO">#REF!</definedName>
    <definedName name="ACC_SALDO" localSheetId="20">#REF!</definedName>
    <definedName name="ACC_SALDO" localSheetId="18">#REF!</definedName>
    <definedName name="ACC_SALDO" localSheetId="2">#REF!</definedName>
    <definedName name="ACC_SALDO" localSheetId="24">#REF!</definedName>
    <definedName name="ACC_SALDO" localSheetId="25">#REF!</definedName>
    <definedName name="ACC_SALDO" localSheetId="26">#REF!</definedName>
    <definedName name="ACC_SALDO" localSheetId="27">#REF!</definedName>
    <definedName name="ACC_SALDO" localSheetId="3">#REF!</definedName>
    <definedName name="ACC_SALDO" localSheetId="4">#REF!</definedName>
    <definedName name="ACC_SALDO" localSheetId="10">#REF!</definedName>
    <definedName name="ACC_SALDO">#REF!</definedName>
    <definedName name="acctype">#REF!</definedName>
    <definedName name="ana" hidden="1">#REF!</definedName>
    <definedName name="AS2DocOpenMode" hidden="1">"AS2DocumentEdit"</definedName>
    <definedName name="AS2ReportLS" hidden="1">1</definedName>
    <definedName name="AS2StaticLS" hidden="1">#REF!</definedName>
    <definedName name="AS2SyncStepLS" hidden="1">0</definedName>
    <definedName name="AS2TickmarkLS" hidden="1">#REF!</definedName>
    <definedName name="AS2VersionLS" hidden="1">300</definedName>
    <definedName name="BA_Demand_Deposits_Res_Ind">#REF!</definedName>
    <definedName name="BALACC">#REF!</definedName>
    <definedName name="BG_Del" hidden="1">15</definedName>
    <definedName name="BG_Ins" hidden="1">4</definedName>
    <definedName name="BG_Mod" hidden="1">6</definedName>
    <definedName name="BS_BALACC" localSheetId="20">#REF!</definedName>
    <definedName name="BS_BALACC" localSheetId="18">#REF!</definedName>
    <definedName name="BS_BALACC" localSheetId="2">#REF!</definedName>
    <definedName name="BS_BALACC" localSheetId="24">#REF!</definedName>
    <definedName name="BS_BALACC" localSheetId="25">#REF!</definedName>
    <definedName name="BS_BALACC" localSheetId="26">#REF!</definedName>
    <definedName name="BS_BALACC" localSheetId="27">#REF!</definedName>
    <definedName name="BS_BALACC" localSheetId="3">#REF!</definedName>
    <definedName name="BS_BALACC" localSheetId="4">#REF!</definedName>
    <definedName name="BS_BALACC" localSheetId="10">#REF!</definedName>
    <definedName name="BS_BALACC">#REF!</definedName>
    <definedName name="BS_BALANCE" localSheetId="20">#REF!</definedName>
    <definedName name="BS_BALANCE" localSheetId="18">#REF!</definedName>
    <definedName name="BS_BALANCE" localSheetId="2">#REF!</definedName>
    <definedName name="BS_BALANCE" localSheetId="24">#REF!</definedName>
    <definedName name="BS_BALANCE" localSheetId="25">#REF!</definedName>
    <definedName name="BS_BALANCE" localSheetId="26">#REF!</definedName>
    <definedName name="BS_BALANCE" localSheetId="27">#REF!</definedName>
    <definedName name="BS_BALANCE" localSheetId="3">#REF!</definedName>
    <definedName name="BS_BALANCE" localSheetId="4">#REF!</definedName>
    <definedName name="BS_BALANCE" localSheetId="10">#REF!</definedName>
    <definedName name="BS_BALANCE">#REF!</definedName>
    <definedName name="BS_CR" localSheetId="20">#REF!</definedName>
    <definedName name="BS_CR" localSheetId="18">#REF!</definedName>
    <definedName name="BS_CR" localSheetId="2">#REF!</definedName>
    <definedName name="BS_CR" localSheetId="24">#REF!</definedName>
    <definedName name="BS_CR" localSheetId="25">#REF!</definedName>
    <definedName name="BS_CR" localSheetId="26">#REF!</definedName>
    <definedName name="BS_CR" localSheetId="27">#REF!</definedName>
    <definedName name="BS_CR" localSheetId="3">#REF!</definedName>
    <definedName name="BS_CR" localSheetId="4">#REF!</definedName>
    <definedName name="BS_CR" localSheetId="10">#REF!</definedName>
    <definedName name="BS_CR">#REF!</definedName>
    <definedName name="BS_CR_EQU" localSheetId="20">#REF!</definedName>
    <definedName name="BS_CR_EQU" localSheetId="18">#REF!</definedName>
    <definedName name="BS_CR_EQU" localSheetId="2">#REF!</definedName>
    <definedName name="BS_CR_EQU" localSheetId="24">#REF!</definedName>
    <definedName name="BS_CR_EQU" localSheetId="25">#REF!</definedName>
    <definedName name="BS_CR_EQU" localSheetId="26">#REF!</definedName>
    <definedName name="BS_CR_EQU" localSheetId="27">#REF!</definedName>
    <definedName name="BS_CR_EQU" localSheetId="3">#REF!</definedName>
    <definedName name="BS_CR_EQU" localSheetId="4">#REF!</definedName>
    <definedName name="BS_CR_EQU" localSheetId="10">#REF!</definedName>
    <definedName name="BS_CR_EQU">#REF!</definedName>
    <definedName name="BS_DB" localSheetId="20">#REF!</definedName>
    <definedName name="BS_DB" localSheetId="18">#REF!</definedName>
    <definedName name="BS_DB" localSheetId="2">#REF!</definedName>
    <definedName name="BS_DB" localSheetId="24">#REF!</definedName>
    <definedName name="BS_DB" localSheetId="25">#REF!</definedName>
    <definedName name="BS_DB" localSheetId="26">#REF!</definedName>
    <definedName name="BS_DB" localSheetId="27">#REF!</definedName>
    <definedName name="BS_DB" localSheetId="3">#REF!</definedName>
    <definedName name="BS_DB" localSheetId="4">#REF!</definedName>
    <definedName name="BS_DB" localSheetId="10">#REF!</definedName>
    <definedName name="BS_DB">#REF!</definedName>
    <definedName name="BS_DB_EQU" localSheetId="20">#REF!</definedName>
    <definedName name="BS_DB_EQU" localSheetId="18">#REF!</definedName>
    <definedName name="BS_DB_EQU" localSheetId="2">#REF!</definedName>
    <definedName name="BS_DB_EQU" localSheetId="24">#REF!</definedName>
    <definedName name="BS_DB_EQU" localSheetId="25">#REF!</definedName>
    <definedName name="BS_DB_EQU" localSheetId="26">#REF!</definedName>
    <definedName name="BS_DB_EQU" localSheetId="27">#REF!</definedName>
    <definedName name="BS_DB_EQU" localSheetId="3">#REF!</definedName>
    <definedName name="BS_DB_EQU" localSheetId="4">#REF!</definedName>
    <definedName name="BS_DB_EQU" localSheetId="10">#REF!</definedName>
    <definedName name="BS_DB_EQU">#REF!</definedName>
    <definedName name="BS_DT" localSheetId="20">#REF!</definedName>
    <definedName name="BS_DT" localSheetId="18">#REF!</definedName>
    <definedName name="BS_DT" localSheetId="2">#REF!</definedName>
    <definedName name="BS_DT" localSheetId="24">#REF!</definedName>
    <definedName name="BS_DT" localSheetId="25">#REF!</definedName>
    <definedName name="BS_DT" localSheetId="26">#REF!</definedName>
    <definedName name="BS_DT" localSheetId="27">#REF!</definedName>
    <definedName name="BS_DT" localSheetId="3">#REF!</definedName>
    <definedName name="BS_DT" localSheetId="4">#REF!</definedName>
    <definedName name="BS_DT" localSheetId="10">#REF!</definedName>
    <definedName name="BS_DT">#REF!</definedName>
    <definedName name="BS_ISO" localSheetId="20">#REF!</definedName>
    <definedName name="BS_ISO" localSheetId="18">#REF!</definedName>
    <definedName name="BS_ISO" localSheetId="2">#REF!</definedName>
    <definedName name="BS_ISO" localSheetId="24">#REF!</definedName>
    <definedName name="BS_ISO" localSheetId="25">#REF!</definedName>
    <definedName name="BS_ISO" localSheetId="26">#REF!</definedName>
    <definedName name="BS_ISO" localSheetId="27">#REF!</definedName>
    <definedName name="BS_ISO" localSheetId="3">#REF!</definedName>
    <definedName name="BS_ISO" localSheetId="4">#REF!</definedName>
    <definedName name="BS_ISO" localSheetId="10">#REF!</definedName>
    <definedName name="BS_ISO">#REF!</definedName>
    <definedName name="call">#REF!</definedName>
    <definedName name="convert">#REF!</definedName>
    <definedName name="Countries">#REF!</definedName>
    <definedName name="currencies">#REF!</definedName>
    <definedName name="CurrentDate" localSheetId="20">#REF!</definedName>
    <definedName name="CurrentDate" localSheetId="18">#REF!</definedName>
    <definedName name="CurrentDate" localSheetId="2">#REF!</definedName>
    <definedName name="CurrentDate" localSheetId="24">#REF!</definedName>
    <definedName name="CurrentDate" localSheetId="25">#REF!</definedName>
    <definedName name="CurrentDate" localSheetId="26">#REF!</definedName>
    <definedName name="CurrentDate" localSheetId="27">#REF!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dependency">#REF!</definedName>
    <definedName name="dfgh" hidden="1">#REF!</definedName>
    <definedName name="fintype">#REF!</definedName>
    <definedName name="jgjhg" hidden="1">#REF!</definedName>
    <definedName name="jgjhg1" hidden="1">#REF!</definedName>
    <definedName name="L_FORMULAS_GEO">#REF!</definedName>
    <definedName name="LDtype">#REF!</definedName>
    <definedName name="NDtype">#REF!</definedName>
    <definedName name="ÓÓÓÓÓÓÓÓ" hidden="1">#REF!</definedName>
    <definedName name="ÓÓÓÓÓÓÓÓÓÓÓÓÓÓÓ" hidden="1">#REF!</definedName>
    <definedName name="Q" hidden="1">#REF!</definedName>
    <definedName name="sdsss" hidden="1">#REF!</definedName>
    <definedName name="Sheet">#REF!</definedName>
    <definedName name="ss" hidden="1">#REF!</definedName>
    <definedName name="sub">#REF!</definedName>
    <definedName name="TextRefCopyRangeCount" hidden="1">3</definedName>
    <definedName name="wrn.Aging._.and._.Trend._.Analysis." hidden="1">{#N/A,#N/A,FALSE,"Aging Summary";#N/A,#N/A,FALSE,"Ratio Analysis";#N/A,#N/A,FALSE,"Test 120 Day Accts";#N/A,#N/A,FALSE,"Tickmarks"}</definedName>
    <definedName name="აა" hidden="1">#REF!</definedName>
    <definedName name="ს" hidden="1">#REF!</definedName>
    <definedName name="საკრედიტო">#REF!</definedName>
    <definedName name="სსს" hidden="1">#REF!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94" l="1"/>
  <c r="C38" i="94"/>
  <c r="D30" i="94"/>
  <c r="C30" i="94"/>
  <c r="D17" i="94"/>
  <c r="C17" i="94"/>
  <c r="D14" i="94"/>
  <c r="C14" i="94"/>
  <c r="D11" i="94"/>
  <c r="C11" i="94"/>
  <c r="D8" i="94"/>
  <c r="C8" i="94"/>
  <c r="P20" i="104" l="1"/>
  <c r="O20" i="104"/>
  <c r="N20" i="104"/>
  <c r="H20" i="104" l="1"/>
  <c r="M16" i="104"/>
  <c r="M15" i="104"/>
  <c r="M14" i="104"/>
  <c r="H16" i="104"/>
  <c r="H15" i="104"/>
  <c r="H14" i="104"/>
  <c r="K4" i="102" l="1"/>
  <c r="J4" i="102"/>
  <c r="I4" i="102"/>
  <c r="F4" i="102"/>
  <c r="E4" i="102"/>
  <c r="D10" i="101" l="1"/>
  <c r="E10" i="101"/>
  <c r="C9" i="101" l="1"/>
  <c r="C14" i="100"/>
  <c r="F6" i="71" l="1"/>
  <c r="E6" i="71"/>
  <c r="E13" i="71" s="1"/>
  <c r="D6" i="71"/>
  <c r="D13" i="71" s="1"/>
  <c r="G13" i="71"/>
  <c r="F13" i="71"/>
  <c r="C6" i="93" l="1"/>
  <c r="D6" i="93"/>
  <c r="H31" i="102" l="1"/>
  <c r="AA10" i="101"/>
  <c r="Z10" i="101"/>
  <c r="Y10" i="101"/>
  <c r="X10" i="101"/>
  <c r="W10" i="101"/>
  <c r="V10" i="101"/>
  <c r="U10" i="101"/>
  <c r="T10" i="101"/>
  <c r="S10" i="101"/>
  <c r="R10" i="101"/>
  <c r="Q10" i="101"/>
  <c r="P10" i="101"/>
  <c r="O10" i="101"/>
  <c r="N10" i="101"/>
  <c r="M10" i="101"/>
  <c r="L10" i="101"/>
  <c r="K10" i="101"/>
  <c r="J10" i="101"/>
  <c r="I10" i="101"/>
  <c r="H10" i="101"/>
  <c r="G10" i="101"/>
  <c r="F10" i="101"/>
  <c r="F14" i="80" l="1"/>
  <c r="E14" i="80"/>
  <c r="D14" i="80"/>
  <c r="C14" i="80"/>
  <c r="C18" i="80"/>
  <c r="D18" i="80"/>
  <c r="E18" i="80"/>
  <c r="F18" i="80"/>
  <c r="C18" i="101" l="1"/>
  <c r="K8" i="101" l="1"/>
  <c r="G8" i="101"/>
  <c r="F8" i="101"/>
  <c r="G16" i="80" l="1"/>
  <c r="F6" i="105" l="1"/>
  <c r="E6" i="105"/>
  <c r="D6" i="105"/>
  <c r="C6" i="105"/>
  <c r="G9" i="37" l="1"/>
  <c r="F9" i="37"/>
  <c r="E9" i="37"/>
  <c r="D9" i="37"/>
  <c r="G8" i="37"/>
  <c r="F8" i="37"/>
  <c r="E8" i="37"/>
  <c r="D8" i="37"/>
  <c r="G7" i="37"/>
  <c r="G6" i="37" s="1"/>
  <c r="F7" i="37"/>
  <c r="F6" i="37" s="1"/>
  <c r="E7" i="37"/>
  <c r="E6" i="37" s="1"/>
  <c r="D7" i="37"/>
  <c r="D6" i="37" s="1"/>
  <c r="P6" i="37"/>
  <c r="L6" i="37"/>
  <c r="K6" i="37"/>
  <c r="J6" i="37"/>
  <c r="Q19" i="37"/>
  <c r="E36" i="72" l="1"/>
  <c r="E29" i="72"/>
  <c r="E27" i="72"/>
  <c r="E24" i="72"/>
  <c r="E21" i="72"/>
  <c r="E19" i="72"/>
  <c r="E18" i="72"/>
  <c r="E17" i="72"/>
  <c r="E15" i="72"/>
  <c r="E14" i="72"/>
  <c r="E13" i="72"/>
  <c r="E12" i="72"/>
  <c r="C20" i="101" l="1"/>
  <c r="C19" i="101"/>
  <c r="C17" i="101"/>
  <c r="C15" i="101"/>
  <c r="C14" i="101"/>
  <c r="C13" i="101"/>
  <c r="C12" i="101"/>
  <c r="C11" i="101"/>
  <c r="C10" i="101"/>
  <c r="R13" i="104"/>
  <c r="R19" i="104" s="1"/>
  <c r="M20" i="104"/>
  <c r="C20" i="104"/>
  <c r="Q13" i="104"/>
  <c r="Q19" i="104" s="1"/>
  <c r="C18" i="104"/>
  <c r="C17" i="104"/>
  <c r="C16" i="104"/>
  <c r="C15" i="104"/>
  <c r="C14" i="104"/>
  <c r="C12" i="104"/>
  <c r="C11" i="104"/>
  <c r="C10" i="104"/>
  <c r="C9" i="104"/>
  <c r="C8" i="104"/>
  <c r="C7" i="104"/>
  <c r="H18" i="104"/>
  <c r="H17" i="104"/>
  <c r="H12" i="104"/>
  <c r="H11" i="104"/>
  <c r="H10" i="104"/>
  <c r="H9" i="104"/>
  <c r="H8" i="104"/>
  <c r="H7" i="104"/>
  <c r="M18" i="104"/>
  <c r="M17" i="104"/>
  <c r="M12" i="104"/>
  <c r="M11" i="104"/>
  <c r="M10" i="104"/>
  <c r="M9" i="104"/>
  <c r="M8" i="104"/>
  <c r="M7" i="104"/>
  <c r="P13" i="104"/>
  <c r="P19" i="104" s="1"/>
  <c r="O13" i="104"/>
  <c r="O19" i="104" s="1"/>
  <c r="N13" i="104"/>
  <c r="N19" i="104" s="1"/>
  <c r="L13" i="104"/>
  <c r="L19" i="104" s="1"/>
  <c r="K13" i="104"/>
  <c r="K19" i="104" s="1"/>
  <c r="J13" i="104"/>
  <c r="J19" i="104" s="1"/>
  <c r="I13" i="104"/>
  <c r="I19" i="104" s="1"/>
  <c r="G13" i="104"/>
  <c r="F13" i="104"/>
  <c r="F19" i="104" s="1"/>
  <c r="E13" i="104"/>
  <c r="E19" i="104" s="1"/>
  <c r="D13" i="104"/>
  <c r="D19" i="104" s="1"/>
  <c r="G19" i="104"/>
  <c r="L33" i="102"/>
  <c r="K33" i="102"/>
  <c r="J33" i="102"/>
  <c r="I33" i="102"/>
  <c r="G33" i="102"/>
  <c r="E33" i="102"/>
  <c r="D33" i="102"/>
  <c r="H32" i="102"/>
  <c r="H30" i="102"/>
  <c r="H29" i="102"/>
  <c r="H28" i="102"/>
  <c r="H27" i="102"/>
  <c r="H26" i="102"/>
  <c r="H25" i="102"/>
  <c r="H24" i="102"/>
  <c r="H23" i="102"/>
  <c r="H22" i="102"/>
  <c r="H21" i="102"/>
  <c r="H20" i="102"/>
  <c r="H19" i="102"/>
  <c r="H18" i="102"/>
  <c r="H17" i="102"/>
  <c r="H16" i="102"/>
  <c r="H15" i="102"/>
  <c r="H14" i="102"/>
  <c r="H13" i="102"/>
  <c r="H12" i="102"/>
  <c r="H11" i="102"/>
  <c r="H10" i="102"/>
  <c r="H9" i="102"/>
  <c r="H8" i="102"/>
  <c r="H7" i="102"/>
  <c r="C32" i="102"/>
  <c r="C31" i="102"/>
  <c r="C30" i="102"/>
  <c r="C29" i="102"/>
  <c r="C28" i="102"/>
  <c r="C27" i="102"/>
  <c r="C26" i="102"/>
  <c r="C25" i="102"/>
  <c r="C24" i="102"/>
  <c r="C23" i="102"/>
  <c r="C22" i="102"/>
  <c r="C21" i="102"/>
  <c r="C20" i="102"/>
  <c r="C19" i="102"/>
  <c r="C18" i="102"/>
  <c r="C17" i="102"/>
  <c r="C16" i="102"/>
  <c r="C15" i="102"/>
  <c r="C14" i="102"/>
  <c r="C13" i="102"/>
  <c r="C12" i="102"/>
  <c r="C11" i="102"/>
  <c r="C10" i="102"/>
  <c r="C8" i="102"/>
  <c r="C9" i="102"/>
  <c r="C13" i="104" l="1"/>
  <c r="M13" i="104"/>
  <c r="M19" i="104" s="1"/>
  <c r="H13" i="104"/>
  <c r="H19" i="104" s="1"/>
  <c r="C19" i="104"/>
  <c r="H33" i="102"/>
  <c r="AA8" i="100" l="1"/>
  <c r="Z8" i="100"/>
  <c r="Y8" i="100"/>
  <c r="X8" i="100"/>
  <c r="W8" i="100"/>
  <c r="V8" i="100"/>
  <c r="U8" i="100"/>
  <c r="T8" i="100"/>
  <c r="S8" i="100"/>
  <c r="R8" i="100"/>
  <c r="Q8" i="100"/>
  <c r="P8" i="100"/>
  <c r="O8" i="100"/>
  <c r="O8" i="101" s="1"/>
  <c r="N8" i="100"/>
  <c r="N8" i="101" s="1"/>
  <c r="M8" i="100"/>
  <c r="M8" i="101" s="1"/>
  <c r="L8" i="100"/>
  <c r="L8" i="101" s="1"/>
  <c r="K8" i="100"/>
  <c r="J8" i="100"/>
  <c r="J8" i="101" s="1"/>
  <c r="I8" i="100"/>
  <c r="I8" i="101" s="1"/>
  <c r="H8" i="100"/>
  <c r="H8" i="101" s="1"/>
  <c r="G8" i="100"/>
  <c r="F8" i="100"/>
  <c r="E8" i="100"/>
  <c r="E8" i="101" s="1"/>
  <c r="D8" i="100"/>
  <c r="D8" i="101" s="1"/>
  <c r="AA15" i="100"/>
  <c r="Z15" i="100"/>
  <c r="Y15" i="100"/>
  <c r="X15" i="100"/>
  <c r="W15" i="100"/>
  <c r="V15" i="100"/>
  <c r="U15" i="100"/>
  <c r="T15" i="100"/>
  <c r="S15" i="100"/>
  <c r="R15" i="100"/>
  <c r="Q15" i="100"/>
  <c r="P15" i="100"/>
  <c r="O15" i="100"/>
  <c r="N15" i="100"/>
  <c r="M15" i="100"/>
  <c r="L15" i="100"/>
  <c r="K15" i="100"/>
  <c r="J15" i="100"/>
  <c r="I15" i="100"/>
  <c r="H15" i="100"/>
  <c r="G15" i="100"/>
  <c r="F15" i="100"/>
  <c r="E15" i="100"/>
  <c r="D15" i="100"/>
  <c r="C15" i="100"/>
  <c r="C13" i="100"/>
  <c r="C12" i="100"/>
  <c r="C11" i="100"/>
  <c r="C10" i="100"/>
  <c r="C9" i="100"/>
  <c r="C21" i="100"/>
  <c r="C20" i="100"/>
  <c r="C19" i="100"/>
  <c r="C18" i="100"/>
  <c r="C17" i="100"/>
  <c r="C16" i="100"/>
  <c r="T22" i="100"/>
  <c r="L22" i="100"/>
  <c r="H22" i="100"/>
  <c r="D22" i="100"/>
  <c r="C28" i="100"/>
  <c r="C22" i="74"/>
  <c r="H21" i="74"/>
  <c r="H20" i="74"/>
  <c r="H19" i="74"/>
  <c r="H18" i="74"/>
  <c r="H17" i="74"/>
  <c r="H16" i="74"/>
  <c r="H15" i="74"/>
  <c r="H14" i="74"/>
  <c r="H13" i="74"/>
  <c r="H12" i="74"/>
  <c r="H11" i="74"/>
  <c r="H10" i="74"/>
  <c r="H9" i="74"/>
  <c r="H8" i="74"/>
  <c r="C8" i="101" l="1"/>
  <c r="C8" i="100"/>
  <c r="C27" i="100"/>
  <c r="C26" i="100" l="1"/>
  <c r="C25" i="100" l="1"/>
  <c r="C24" i="100" l="1"/>
  <c r="C23" i="100" l="1"/>
  <c r="C22" i="100" s="1"/>
  <c r="G24" i="80" l="1"/>
  <c r="G20" i="80"/>
  <c r="G19" i="80"/>
  <c r="G18" i="80" s="1"/>
  <c r="G17" i="80"/>
  <c r="G15" i="80"/>
  <c r="G14" i="80" s="1"/>
  <c r="G13" i="80"/>
  <c r="G12" i="80"/>
  <c r="G11" i="80" s="1"/>
  <c r="G10" i="80"/>
  <c r="G9" i="80"/>
  <c r="G8" i="80" l="1"/>
  <c r="G33" i="80"/>
  <c r="G21" i="80"/>
  <c r="J23" i="36" l="1"/>
  <c r="I23" i="36"/>
  <c r="G23" i="36"/>
  <c r="F23" i="36"/>
  <c r="J21" i="36"/>
  <c r="I21" i="36"/>
  <c r="G21" i="36"/>
  <c r="F21" i="36"/>
  <c r="D21" i="36"/>
  <c r="C21" i="36"/>
  <c r="K20" i="36"/>
  <c r="K19" i="36"/>
  <c r="K21" i="36" s="1"/>
  <c r="K18" i="36"/>
  <c r="H20" i="36"/>
  <c r="H19" i="36"/>
  <c r="H18" i="36"/>
  <c r="H21" i="36" s="1"/>
  <c r="E20" i="36"/>
  <c r="E19" i="36"/>
  <c r="E18" i="36"/>
  <c r="H8" i="36"/>
  <c r="K8" i="36"/>
  <c r="K15" i="36"/>
  <c r="K14" i="36"/>
  <c r="K13" i="36"/>
  <c r="K12" i="36"/>
  <c r="K11" i="36"/>
  <c r="K10" i="36"/>
  <c r="H15" i="36"/>
  <c r="H14" i="36"/>
  <c r="H13" i="36"/>
  <c r="H12" i="36"/>
  <c r="H11" i="36"/>
  <c r="H10" i="36"/>
  <c r="J16" i="36"/>
  <c r="I16" i="36"/>
  <c r="G16" i="36"/>
  <c r="F16" i="36"/>
  <c r="D16" i="36"/>
  <c r="C16" i="36"/>
  <c r="E15" i="36"/>
  <c r="E14" i="36"/>
  <c r="E13" i="36"/>
  <c r="E12" i="36"/>
  <c r="E11" i="36"/>
  <c r="E10" i="36"/>
  <c r="E21" i="36" l="1"/>
  <c r="K16" i="36"/>
  <c r="K24" i="36" s="1"/>
  <c r="H16" i="36"/>
  <c r="H24" i="36" s="1"/>
  <c r="I24" i="36"/>
  <c r="I25" i="36" s="1"/>
  <c r="J24" i="36"/>
  <c r="J25" i="36" s="1"/>
  <c r="F24" i="36"/>
  <c r="F25" i="36" s="1"/>
  <c r="G24" i="36"/>
  <c r="G25" i="36" s="1"/>
  <c r="E16" i="36"/>
  <c r="K23" i="36"/>
  <c r="H23" i="36"/>
  <c r="K25" i="36" l="1"/>
  <c r="H25" i="36"/>
  <c r="B2" i="105"/>
  <c r="B1" i="105"/>
  <c r="Q33" i="37" l="1"/>
  <c r="Q32" i="37"/>
  <c r="Q31" i="37"/>
  <c r="Q29" i="37"/>
  <c r="Q26" i="37" s="1"/>
  <c r="Q28" i="37"/>
  <c r="Q27" i="37"/>
  <c r="Q25" i="37"/>
  <c r="Q24" i="37"/>
  <c r="Q23" i="37"/>
  <c r="Q22" i="37" s="1"/>
  <c r="Q21" i="37"/>
  <c r="Q20" i="37"/>
  <c r="Q17" i="37"/>
  <c r="Q16" i="37"/>
  <c r="Q15" i="37"/>
  <c r="Q12" i="37"/>
  <c r="Q10" i="37" s="1"/>
  <c r="Q13" i="37"/>
  <c r="Q11" i="37"/>
  <c r="I33" i="37"/>
  <c r="I32" i="37"/>
  <c r="I31" i="37"/>
  <c r="I30" i="37"/>
  <c r="I29" i="37"/>
  <c r="I28" i="37"/>
  <c r="I27" i="37"/>
  <c r="I26" i="37"/>
  <c r="I25" i="37"/>
  <c r="I24" i="37"/>
  <c r="I23" i="37"/>
  <c r="I22" i="37"/>
  <c r="I21" i="37"/>
  <c r="I20" i="37"/>
  <c r="I19" i="37"/>
  <c r="I18" i="37"/>
  <c r="I17" i="37"/>
  <c r="I16" i="37"/>
  <c r="I15" i="37"/>
  <c r="I14" i="37"/>
  <c r="I13" i="37"/>
  <c r="I12" i="37"/>
  <c r="I11" i="37"/>
  <c r="I10" i="37"/>
  <c r="P9" i="37"/>
  <c r="O9" i="37"/>
  <c r="N9" i="37"/>
  <c r="M9" i="37"/>
  <c r="L9" i="37"/>
  <c r="K9" i="37"/>
  <c r="J9" i="37"/>
  <c r="I9" i="37"/>
  <c r="C9" i="37"/>
  <c r="P8" i="37"/>
  <c r="O8" i="37"/>
  <c r="N8" i="37"/>
  <c r="M8" i="37"/>
  <c r="L8" i="37"/>
  <c r="K8" i="37"/>
  <c r="J8" i="37"/>
  <c r="I8" i="37"/>
  <c r="C8" i="37"/>
  <c r="P7" i="37"/>
  <c r="O7" i="37"/>
  <c r="O6" i="37" s="1"/>
  <c r="N7" i="37"/>
  <c r="N6" i="37" s="1"/>
  <c r="M7" i="37"/>
  <c r="L7" i="37"/>
  <c r="K7" i="37"/>
  <c r="J7" i="37"/>
  <c r="C7" i="37"/>
  <c r="C6" i="37" s="1"/>
  <c r="E34" i="37"/>
  <c r="D34" i="37"/>
  <c r="M6" i="37" l="1"/>
  <c r="M34" i="37" s="1"/>
  <c r="G34" i="37"/>
  <c r="Q18" i="37"/>
  <c r="Q14" i="37"/>
  <c r="J34" i="37"/>
  <c r="Q30" i="37"/>
  <c r="L34" i="37"/>
  <c r="F34" i="37"/>
  <c r="O34" i="37"/>
  <c r="P34" i="37"/>
  <c r="K34" i="37"/>
  <c r="Q8" i="37"/>
  <c r="N34" i="37"/>
  <c r="C34" i="37"/>
  <c r="I7" i="37"/>
  <c r="I6" i="37" s="1"/>
  <c r="Q7" i="37"/>
  <c r="Q9" i="37"/>
  <c r="I34" i="37" l="1"/>
  <c r="Q6" i="37"/>
  <c r="Q34" i="37" s="1"/>
  <c r="E5" i="6"/>
  <c r="F5" i="6"/>
  <c r="G5" i="6"/>
  <c r="G38" i="94" l="1"/>
  <c r="F38" i="94"/>
  <c r="C22" i="95" l="1"/>
  <c r="H21" i="95"/>
  <c r="B1" i="94" l="1"/>
  <c r="B1" i="93"/>
  <c r="B1" i="92"/>
  <c r="B1" i="104" l="1"/>
  <c r="B1" i="103"/>
  <c r="B1" i="102"/>
  <c r="B1" i="101"/>
  <c r="B1" i="100"/>
  <c r="B1" i="99"/>
  <c r="B1" i="98"/>
  <c r="B1" i="97"/>
  <c r="B1" i="96"/>
  <c r="B1" i="95"/>
  <c r="C10" i="99" l="1"/>
  <c r="C7" i="98"/>
  <c r="D7" i="98"/>
  <c r="C10" i="98"/>
  <c r="D10"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8" i="96"/>
  <c r="H9" i="96"/>
  <c r="H10" i="96"/>
  <c r="H11" i="96"/>
  <c r="H13" i="96"/>
  <c r="H14" i="96"/>
  <c r="H15" i="96"/>
  <c r="H16" i="96"/>
  <c r="H17" i="96"/>
  <c r="H18" i="96"/>
  <c r="H19" i="96"/>
  <c r="H20" i="96"/>
  <c r="C21" i="96"/>
  <c r="E21" i="96"/>
  <c r="F21" i="96"/>
  <c r="G21" i="96"/>
  <c r="H22" i="96"/>
  <c r="H23" i="96"/>
  <c r="H8" i="95"/>
  <c r="H7" i="96" s="1"/>
  <c r="H9" i="95"/>
  <c r="H10" i="95"/>
  <c r="H11" i="95"/>
  <c r="H12" i="95"/>
  <c r="H13" i="95"/>
  <c r="D12" i="96" s="1"/>
  <c r="H12" i="96" s="1"/>
  <c r="H14" i="95"/>
  <c r="H15" i="95"/>
  <c r="H16" i="95"/>
  <c r="H17" i="95"/>
  <c r="H18" i="95"/>
  <c r="H19" i="95"/>
  <c r="H20" i="95"/>
  <c r="D22" i="95"/>
  <c r="E22" i="95"/>
  <c r="F22" i="95"/>
  <c r="G22" i="95"/>
  <c r="D21" i="96" l="1"/>
  <c r="C18" i="99"/>
  <c r="C15" i="98"/>
  <c r="D15" i="98"/>
  <c r="H22" i="95"/>
  <c r="H34" i="97"/>
  <c r="H21" i="96"/>
  <c r="D8" i="72"/>
  <c r="D16" i="72"/>
  <c r="E16" i="72"/>
  <c r="D20" i="72"/>
  <c r="D25" i="72"/>
  <c r="D31" i="72"/>
  <c r="H43" i="94" l="1"/>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H29" i="94"/>
  <c r="E29" i="94"/>
  <c r="H28" i="94"/>
  <c r="E28" i="94"/>
  <c r="H27" i="94"/>
  <c r="E27" i="94"/>
  <c r="H26" i="94"/>
  <c r="E26" i="94"/>
  <c r="H25" i="94"/>
  <c r="E25" i="94"/>
  <c r="H24" i="94"/>
  <c r="E24" i="94"/>
  <c r="H23" i="94"/>
  <c r="E23" i="94"/>
  <c r="H22" i="94"/>
  <c r="E22" i="94"/>
  <c r="H21" i="94"/>
  <c r="E21" i="94"/>
  <c r="H20" i="94"/>
  <c r="E20" i="94"/>
  <c r="H19" i="94"/>
  <c r="E19" i="94"/>
  <c r="H18" i="94"/>
  <c r="E18" i="94"/>
  <c r="H17" i="94"/>
  <c r="H16" i="94"/>
  <c r="E16" i="94"/>
  <c r="H15" i="94"/>
  <c r="E15" i="94"/>
  <c r="G14" i="94"/>
  <c r="F14" i="94"/>
  <c r="H13" i="94"/>
  <c r="E13" i="94"/>
  <c r="H12" i="94"/>
  <c r="E12" i="94"/>
  <c r="G11" i="94"/>
  <c r="F11" i="94"/>
  <c r="H10" i="94"/>
  <c r="E10" i="94"/>
  <c r="H9" i="94"/>
  <c r="E9" i="94"/>
  <c r="G8" i="94"/>
  <c r="F8" i="94"/>
  <c r="H7" i="94"/>
  <c r="E7" i="94"/>
  <c r="H6" i="94"/>
  <c r="E6" i="94"/>
  <c r="H44" i="93"/>
  <c r="E44" i="93"/>
  <c r="H42" i="93"/>
  <c r="E42" i="93"/>
  <c r="H41" i="93"/>
  <c r="E41" i="93"/>
  <c r="H40" i="93"/>
  <c r="E40" i="93"/>
  <c r="H39" i="93"/>
  <c r="E39" i="93"/>
  <c r="H38" i="93"/>
  <c r="E38" i="93"/>
  <c r="G37" i="93"/>
  <c r="F37" i="93"/>
  <c r="H37" i="93" s="1"/>
  <c r="D37" i="93"/>
  <c r="C37" i="93"/>
  <c r="E37" i="93" s="1"/>
  <c r="H36" i="93"/>
  <c r="E36" i="93"/>
  <c r="H35" i="93"/>
  <c r="E35" i="93"/>
  <c r="G34" i="93"/>
  <c r="F34" i="93"/>
  <c r="D34" i="93"/>
  <c r="C34" i="93"/>
  <c r="H33" i="93"/>
  <c r="E33" i="93"/>
  <c r="H32" i="93"/>
  <c r="E32" i="93"/>
  <c r="H31" i="93"/>
  <c r="E31" i="93"/>
  <c r="H30" i="93"/>
  <c r="E30" i="93"/>
  <c r="G29" i="93"/>
  <c r="F29" i="93"/>
  <c r="D29" i="93"/>
  <c r="C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G13" i="93"/>
  <c r="F13" i="93"/>
  <c r="H13" i="93" s="1"/>
  <c r="D13" i="93"/>
  <c r="C13" i="93"/>
  <c r="E13" i="93" s="1"/>
  <c r="H12" i="93"/>
  <c r="E12" i="93"/>
  <c r="H11" i="93"/>
  <c r="E11" i="93"/>
  <c r="H10" i="93"/>
  <c r="E10" i="93"/>
  <c r="H9" i="93"/>
  <c r="E9" i="93"/>
  <c r="H8" i="93"/>
  <c r="E8" i="93"/>
  <c r="H7" i="93"/>
  <c r="E7" i="93"/>
  <c r="G6" i="93"/>
  <c r="F6" i="93"/>
  <c r="C43" i="93"/>
  <c r="C45" i="93" s="1"/>
  <c r="G68" i="92"/>
  <c r="G69" i="92" s="1"/>
  <c r="F68" i="92"/>
  <c r="F69" i="92" s="1"/>
  <c r="H67" i="92"/>
  <c r="E67" i="92"/>
  <c r="H66" i="92"/>
  <c r="E66" i="92"/>
  <c r="H65" i="92"/>
  <c r="E65" i="92"/>
  <c r="H64" i="92"/>
  <c r="E64" i="92"/>
  <c r="H63" i="92"/>
  <c r="D63" i="92"/>
  <c r="C63" i="92"/>
  <c r="H62" i="92"/>
  <c r="E62" i="92"/>
  <c r="H61" i="92"/>
  <c r="E61" i="92"/>
  <c r="H60" i="92"/>
  <c r="E60" i="92"/>
  <c r="H59" i="92"/>
  <c r="D59" i="92"/>
  <c r="C59" i="92"/>
  <c r="H58" i="92"/>
  <c r="E58" i="92"/>
  <c r="H57" i="92"/>
  <c r="E57" i="92"/>
  <c r="H56" i="92"/>
  <c r="E56" i="92"/>
  <c r="H55" i="92"/>
  <c r="E55" i="92"/>
  <c r="H52" i="92"/>
  <c r="E52" i="92"/>
  <c r="H51" i="92"/>
  <c r="E51" i="92"/>
  <c r="H50" i="92"/>
  <c r="E50" i="92"/>
  <c r="H49" i="92"/>
  <c r="E49" i="92"/>
  <c r="H48" i="92"/>
  <c r="E48" i="92"/>
  <c r="G47" i="92"/>
  <c r="F47" i="92"/>
  <c r="H47" i="92" s="1"/>
  <c r="D47" i="92"/>
  <c r="C47" i="92"/>
  <c r="H46" i="92"/>
  <c r="E46" i="92"/>
  <c r="H45" i="92"/>
  <c r="E45" i="92"/>
  <c r="H44" i="92"/>
  <c r="E44" i="92"/>
  <c r="H43" i="92"/>
  <c r="E43" i="92"/>
  <c r="H42" i="92"/>
  <c r="E42" i="92"/>
  <c r="G41" i="92"/>
  <c r="G53" i="92" s="1"/>
  <c r="F41" i="92"/>
  <c r="H41" i="92" s="1"/>
  <c r="D41" i="92"/>
  <c r="D53" i="92" s="1"/>
  <c r="C41" i="92"/>
  <c r="H40" i="92"/>
  <c r="E40" i="92"/>
  <c r="H39" i="92"/>
  <c r="E39" i="92"/>
  <c r="H38" i="92"/>
  <c r="E38" i="92"/>
  <c r="H35" i="92"/>
  <c r="E35" i="92"/>
  <c r="H34" i="92"/>
  <c r="E34" i="92"/>
  <c r="H33" i="92"/>
  <c r="E33" i="92"/>
  <c r="H32" i="92"/>
  <c r="E32" i="92"/>
  <c r="H31" i="92"/>
  <c r="E31" i="92"/>
  <c r="G30" i="92"/>
  <c r="F30" i="92"/>
  <c r="H30" i="92" s="1"/>
  <c r="D30" i="92"/>
  <c r="C30" i="92"/>
  <c r="H29" i="92"/>
  <c r="E29" i="92"/>
  <c r="H28" i="92"/>
  <c r="E28" i="92"/>
  <c r="H27" i="92"/>
  <c r="G27" i="92"/>
  <c r="F27" i="92"/>
  <c r="D27" i="92"/>
  <c r="C27" i="92"/>
  <c r="H26" i="92"/>
  <c r="E26" i="92"/>
  <c r="H25" i="92"/>
  <c r="E25" i="92"/>
  <c r="G24" i="92"/>
  <c r="F24" i="92"/>
  <c r="D24" i="92"/>
  <c r="C24" i="92"/>
  <c r="H23" i="92"/>
  <c r="E23" i="92"/>
  <c r="H22" i="92"/>
  <c r="E22" i="92"/>
  <c r="H21" i="92"/>
  <c r="E21" i="92"/>
  <c r="H20" i="92"/>
  <c r="E20" i="92"/>
  <c r="G19" i="92"/>
  <c r="F19" i="92"/>
  <c r="H19" i="92" s="1"/>
  <c r="D19" i="92"/>
  <c r="C19" i="92"/>
  <c r="H18" i="92"/>
  <c r="E18" i="92"/>
  <c r="H17" i="92"/>
  <c r="E17" i="92"/>
  <c r="H16" i="92"/>
  <c r="E16" i="92"/>
  <c r="G15" i="92"/>
  <c r="F15" i="92"/>
  <c r="H15" i="92" s="1"/>
  <c r="D15" i="92"/>
  <c r="E15" i="92" s="1"/>
  <c r="C15" i="92"/>
  <c r="H14" i="92"/>
  <c r="E14" i="92"/>
  <c r="H13" i="92"/>
  <c r="E13" i="92"/>
  <c r="H12" i="92"/>
  <c r="E12" i="92"/>
  <c r="H11" i="92"/>
  <c r="E11" i="92"/>
  <c r="H10" i="92"/>
  <c r="E10" i="92"/>
  <c r="H9" i="92"/>
  <c r="E9" i="92"/>
  <c r="H8" i="92"/>
  <c r="E8" i="92"/>
  <c r="G7" i="92"/>
  <c r="H7" i="92" s="1"/>
  <c r="F7" i="92"/>
  <c r="D7" i="92"/>
  <c r="C7" i="92"/>
  <c r="E35" i="72" l="1"/>
  <c r="E34" i="72"/>
  <c r="E33" i="72"/>
  <c r="E11" i="72"/>
  <c r="E10" i="72"/>
  <c r="E41" i="92"/>
  <c r="C68" i="92"/>
  <c r="E47" i="92"/>
  <c r="E24" i="92"/>
  <c r="E30" i="92"/>
  <c r="E27" i="92"/>
  <c r="G36" i="92"/>
  <c r="E19" i="92"/>
  <c r="E63" i="92"/>
  <c r="D68" i="92"/>
  <c r="E59" i="92"/>
  <c r="C36" i="92"/>
  <c r="E29" i="93"/>
  <c r="E34" i="93"/>
  <c r="F43" i="93"/>
  <c r="F45" i="93" s="1"/>
  <c r="H45" i="93" s="1"/>
  <c r="D36" i="92"/>
  <c r="E6" i="93"/>
  <c r="F36" i="92"/>
  <c r="H36" i="92" s="1"/>
  <c r="G43" i="93"/>
  <c r="G45" i="93" s="1"/>
  <c r="H29" i="93"/>
  <c r="H34" i="93"/>
  <c r="H8" i="94"/>
  <c r="E8" i="94"/>
  <c r="E14" i="94"/>
  <c r="H38" i="94"/>
  <c r="E30" i="94"/>
  <c r="E11" i="94"/>
  <c r="E17" i="94"/>
  <c r="H11" i="94"/>
  <c r="H14" i="94"/>
  <c r="H6" i="93"/>
  <c r="D43" i="93"/>
  <c r="D45" i="93" s="1"/>
  <c r="H69" i="92"/>
  <c r="C53" i="92"/>
  <c r="H68" i="92"/>
  <c r="F53" i="92"/>
  <c r="H53" i="92" s="1"/>
  <c r="E7" i="92"/>
  <c r="H24" i="92"/>
  <c r="D23" i="72" l="1"/>
  <c r="E23" i="72"/>
  <c r="E32" i="72"/>
  <c r="E31" i="72" s="1"/>
  <c r="D30" i="72"/>
  <c r="D28" i="72" s="1"/>
  <c r="D37" i="72" s="1"/>
  <c r="E26" i="72"/>
  <c r="E25" i="72" s="1"/>
  <c r="E22" i="72"/>
  <c r="E20" i="72" s="1"/>
  <c r="C20" i="72"/>
  <c r="E9" i="72"/>
  <c r="E8" i="72" s="1"/>
  <c r="C8" i="72"/>
  <c r="E68" i="92"/>
  <c r="D69" i="92"/>
  <c r="E36" i="92"/>
  <c r="H43" i="93"/>
  <c r="E45" i="93"/>
  <c r="E43" i="93"/>
  <c r="C69" i="92"/>
  <c r="E53" i="92"/>
  <c r="E30" i="72" l="1"/>
  <c r="E28" i="72" s="1"/>
  <c r="E37" i="72" s="1"/>
  <c r="C37" i="72"/>
  <c r="E69" i="92"/>
  <c r="B1" i="80"/>
  <c r="F33" i="80"/>
  <c r="E33" i="80"/>
  <c r="D33" i="80"/>
  <c r="C33" i="80"/>
  <c r="G37" i="80"/>
  <c r="F24" i="80"/>
  <c r="E24" i="80"/>
  <c r="D24" i="80"/>
  <c r="C24" i="80"/>
  <c r="F11" i="80"/>
  <c r="E11" i="80"/>
  <c r="D11" i="80"/>
  <c r="C11" i="80"/>
  <c r="F8" i="80"/>
  <c r="E8" i="80"/>
  <c r="D8" i="80"/>
  <c r="C8" i="80"/>
  <c r="G39" i="80" l="1"/>
  <c r="G6" i="71"/>
  <c r="C6" i="71"/>
  <c r="C13" i="71" l="1"/>
  <c r="B1" i="79" l="1"/>
  <c r="B1" i="37"/>
  <c r="B1" i="36"/>
  <c r="B1" i="74"/>
  <c r="B1" i="64"/>
  <c r="B1" i="35"/>
  <c r="B1" i="69"/>
  <c r="B1" i="77"/>
  <c r="B1" i="28"/>
  <c r="B1" i="73"/>
  <c r="B1" i="72"/>
  <c r="B1" i="52"/>
  <c r="B1" i="71"/>
  <c r="B1" i="6"/>
  <c r="D26" i="79"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l="1"/>
  <c r="C44" i="28"/>
  <c r="C32" i="28" l="1"/>
  <c r="C31"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53" i="28" s="1"/>
  <c r="C36" i="28"/>
  <c r="C42" i="28" s="1"/>
  <c r="C12" i="28"/>
  <c r="C6" i="28" l="1"/>
  <c r="C29" i="28" s="1"/>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B2" i="71"/>
  <c r="G5" i="71" s="1"/>
  <c r="D5" i="6"/>
  <c r="C5" i="71" l="1"/>
  <c r="E5" i="71"/>
  <c r="F5" i="71"/>
  <c r="D5" i="71"/>
  <c r="C34" i="79" l="1"/>
  <c r="F33" i="102"/>
  <c r="C7" i="102"/>
  <c r="C33" i="10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000-000001000000}">
      <text>
        <r>
          <rPr>
            <b/>
            <sz val="9"/>
            <color indexed="81"/>
            <rFont val="Tahoma"/>
            <family val="2"/>
          </rPr>
          <t>Author:</t>
        </r>
        <r>
          <rPr>
            <sz val="9"/>
            <color indexed="81"/>
            <rFont val="Tahoma"/>
            <family val="2"/>
          </rPr>
          <t xml:space="preserve">
თუ სებ-ის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20" authorId="0" shapeId="0" xr:uid="{058DDCEE-76F5-4290-A560-083E249D6002}">
      <text>
        <r>
          <rPr>
            <b/>
            <sz val="9"/>
            <color indexed="81"/>
            <rFont val="Tahoma"/>
            <family val="2"/>
          </rPr>
          <t>From FSF</t>
        </r>
      </text>
    </comment>
  </commentList>
</comments>
</file>

<file path=xl/sharedStrings.xml><?xml version="1.0" encoding="utf-8"?>
<sst xmlns="http://schemas.openxmlformats.org/spreadsheetml/2006/main" count="1601" uniqueCount="1006">
  <si>
    <t>a</t>
  </si>
  <si>
    <t>b</t>
  </si>
  <si>
    <t>c</t>
  </si>
  <si>
    <t>d</t>
  </si>
  <si>
    <t>e</t>
  </si>
  <si>
    <t xml:space="preserve"> </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</si>
  <si>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</si>
  <si>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</si>
  <si>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</si>
  <si>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</si>
  <si>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</si>
  <si>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</si>
  <si>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</si>
  <si>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</si>
  <si>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</si>
  <si>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</si>
  <si>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</si>
  <si>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</si>
  <si>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</si>
  <si>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</si>
  <si>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</si>
  <si>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</si>
  <si>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</si>
  <si>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</si>
  <si>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</si>
  <si>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</si>
  <si>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</si>
  <si>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</si>
  <si>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</si>
  <si>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</si>
  <si>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</si>
  <si>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</si>
  <si>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</si>
  <si>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</si>
  <si>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</si>
  <si>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</si>
  <si>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</si>
  <si>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</si>
  <si>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</si>
  <si>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</si>
  <si>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</si>
  <si>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აქციების ფლობა და სხვა სახით 10%–ზე მეტი წილის ფლობა კომერციული დაწესებულებების სააქციო კაპიტალში</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</si>
  <si>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</si>
  <si>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</si>
  <si>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</si>
  <si>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</si>
  <si>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</si>
  <si>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</si>
  <si>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</si>
  <si>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</si>
  <si>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</si>
  <si>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</si>
  <si>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</si>
  <si>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</si>
  <si>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</si>
  <si>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</si>
  <si>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</si>
  <si>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</si>
  <si>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</si>
  <si>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</si>
  <si>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</si>
  <si>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</si>
  <si>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</si>
  <si>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</si>
  <si>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</si>
  <si>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</si>
  <si>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</si>
  <si>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</si>
  <si>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</si>
  <si>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</si>
  <si>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</si>
  <si>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</si>
  <si>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</si>
  <si>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</si>
  <si>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</si>
  <si>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</si>
  <si>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</si>
  <si>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</si>
  <si>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</si>
  <si>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</si>
  <si>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</si>
  <si>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</si>
  <si>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</si>
  <si>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</si>
  <si>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</si>
  <si>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</si>
  <si>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</si>
  <si>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</si>
  <si>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</si>
  <si>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</si>
  <si>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</si>
  <si>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</si>
  <si>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</si>
  <si>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</si>
  <si>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</si>
  <si>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</si>
  <si>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</si>
  <si>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</si>
  <si>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</si>
  <si>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</si>
  <si>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</si>
  <si>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</si>
  <si>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</si>
  <si>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</si>
  <si>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</si>
  <si>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</si>
  <si>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</si>
  <si>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</si>
  <si>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</si>
  <si>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</si>
  <si>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</si>
  <si>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</si>
  <si>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</si>
  <si>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</si>
  <si>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</si>
  <si>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</si>
  <si>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</si>
  <si>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</si>
  <si>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</si>
  <si>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</si>
  <si>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</si>
  <si>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</si>
  <si>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</si>
  <si>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</si>
  <si>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</si>
  <si>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</si>
  <si>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</si>
  <si>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</si>
  <si>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</si>
  <si>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</si>
  <si>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</si>
  <si>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</si>
  <si>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</si>
  <si>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</si>
  <si>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</si>
  <si>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</si>
  <si>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</si>
  <si>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</si>
  <si>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</si>
  <si>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</si>
  <si>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</si>
  <si>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</si>
  <si>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</si>
  <si>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</si>
  <si>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</si>
  <si>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</si>
  <si>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</si>
  <si>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</si>
  <si>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</si>
  <si>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</si>
  <si>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</si>
  <si>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</si>
  <si>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</si>
  <si>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</si>
  <si>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</si>
  <si>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</si>
  <si>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</si>
  <si>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</si>
  <si>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</si>
  <si>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</si>
  <si>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</si>
  <si>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</si>
  <si>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</si>
  <si>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</si>
  <si>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</si>
  <si>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</si>
  <si>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</si>
  <si>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</si>
  <si>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</si>
  <si>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</si>
  <si>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</si>
  <si>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</si>
  <si>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</si>
  <si>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</si>
  <si>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</si>
  <si>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</si>
  <si>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</si>
  <si>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</si>
  <si>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</si>
  <si>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</si>
  <si>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</si>
  <si>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</si>
  <si>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</si>
  <si>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</si>
  <si>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</si>
  <si>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</si>
  <si>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</si>
  <si>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</si>
  <si>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</si>
  <si>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</si>
  <si>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</si>
  <si>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</si>
  <si>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</si>
  <si>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</si>
  <si>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</si>
  <si>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</si>
  <si>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</si>
  <si>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</si>
  <si>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</si>
  <si>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</si>
  <si>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</si>
  <si>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</si>
  <si>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</si>
  <si>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</si>
  <si>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</si>
  <si>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</si>
  <si>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</si>
  <si>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</si>
  <si>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</si>
  <si>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</si>
  <si>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</si>
  <si>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</si>
  <si>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</si>
  <si>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</si>
  <si>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</si>
  <si>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</si>
  <si>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</si>
  <si>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</si>
  <si>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</si>
  <si>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</si>
  <si>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</si>
  <si>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</si>
  <si>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</si>
  <si>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</si>
  <si>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</si>
  <si>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</si>
  <si>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</si>
  <si>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</si>
  <si>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</si>
  <si>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</si>
  <si>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</si>
  <si>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</si>
  <si>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</si>
  <si>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</si>
  <si>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</si>
  <si>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</si>
  <si>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</si>
  <si>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</si>
  <si>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</si>
  <si>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</si>
  <si>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</si>
  <si>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</si>
  <si>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</si>
  <si>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</si>
  <si>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</si>
  <si>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</si>
  <si>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</si>
  <si>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</si>
  <si>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</si>
  <si>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</si>
  <si>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</si>
  <si>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</si>
  <si>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</si>
  <si>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</si>
  <si>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</si>
  <si>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</si>
  <si>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</si>
  <si>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</si>
  <si>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</si>
  <si>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</si>
  <si>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</si>
  <si>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</si>
  <si>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</si>
  <si>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</si>
  <si>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</si>
  <si>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</si>
  <si>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</si>
  <si>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</si>
  <si>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</si>
  <si>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</si>
  <si>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</si>
  <si>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</si>
  <si>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</si>
  <si>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</si>
  <si>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</si>
  <si>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</si>
  <si>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</si>
  <si>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</si>
  <si>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</si>
  <si>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</si>
  <si>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</si>
  <si>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</si>
  <si>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</si>
  <si>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</si>
  <si>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</si>
  <si>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</si>
  <si>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</si>
  <si>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</si>
  <si>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</si>
  <si>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</si>
  <si>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</si>
  <si>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</si>
  <si>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</si>
  <si>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</si>
  <si>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</si>
  <si>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</si>
  <si>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</si>
  <si>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</si>
  <si>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</si>
  <si>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</si>
  <si>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</si>
  <si>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</si>
  <si>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</si>
  <si>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</si>
  <si>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</si>
  <si>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</si>
  <si>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</si>
  <si>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</si>
  <si>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</si>
  <si>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</si>
  <si>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</si>
  <si>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</si>
  <si>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</si>
  <si>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</si>
  <si>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</si>
  <si>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</si>
  <si>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</si>
  <si>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</si>
  <si>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</si>
  <si>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</si>
  <si>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</si>
  <si>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</si>
  <si>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</si>
  <si>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</si>
  <si>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</si>
  <si>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</si>
  <si>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</si>
  <si>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</si>
  <si>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3</t>
  </si>
  <si>
    <t>6</t>
  </si>
  <si>
    <t>9.1</t>
  </si>
  <si>
    <t>3.1</t>
  </si>
  <si>
    <t>3.2</t>
  </si>
  <si>
    <t>3.3</t>
  </si>
  <si>
    <t>პილარ 2-ის მოთხოვნა პირველად კაპიტალზე</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</si>
  <si>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</si>
  <si>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</si>
  <si>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</si>
  <si>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</si>
  <si>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</si>
  <si>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</si>
  <si>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</si>
  <si>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</si>
  <si>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</si>
  <si>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</si>
  <si>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</si>
  <si>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</si>
  <si>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</si>
  <si>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</si>
  <si>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</si>
  <si>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</si>
  <si>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</si>
  <si>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</si>
  <si>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</si>
  <si>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</si>
  <si>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</si>
  <si>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</si>
  <si>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</si>
  <si>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</si>
  <si>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</si>
  <si>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</si>
  <si>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</si>
  <si>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</si>
  <si>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</si>
  <si>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</si>
  <si>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</si>
  <si>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</si>
  <si>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</si>
  <si>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</si>
  <si>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</si>
  <si>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</si>
  <si>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</si>
  <si>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</si>
  <si>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</si>
  <si>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</si>
  <si>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</si>
  <si>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</si>
  <si>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</si>
  <si>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</si>
  <si>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</si>
  <si>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</si>
  <si>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</si>
  <si>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</si>
  <si>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</si>
  <si>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</si>
  <si>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</si>
  <si>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</si>
  <si>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</si>
  <si>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</si>
  <si>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</si>
  <si>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</si>
  <si>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</si>
  <si>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</si>
  <si>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</si>
  <si>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</si>
  <si>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</si>
  <si>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</si>
  <si>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</si>
  <si>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</si>
  <si>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</si>
  <si>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</si>
  <si>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</si>
  <si>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</si>
  <si>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</si>
  <si>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</si>
  <si>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</si>
  <si>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</si>
  <si>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</si>
  <si>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</si>
  <si>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</si>
  <si>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</si>
  <si>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</si>
  <si>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</si>
  <si>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</si>
  <si>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</si>
  <si>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</si>
  <si>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</si>
  <si>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</si>
  <si>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</si>
  <si>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</si>
  <si>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</si>
  <si>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</si>
  <si>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</si>
  <si>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</si>
  <si>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</si>
  <si>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</si>
  <si>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</si>
  <si>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</si>
  <si>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</si>
  <si>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</si>
  <si>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</si>
  <si>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</si>
  <si>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</si>
  <si>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</si>
  <si>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</si>
  <si>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</si>
  <si>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</si>
  <si>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</si>
  <si>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</si>
  <si>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</si>
  <si>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</si>
  <si>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</si>
  <si>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</si>
  <si>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</si>
  <si>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</si>
  <si>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</si>
  <si>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</si>
  <si>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</si>
  <si>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</si>
  <si>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</si>
  <si>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</si>
  <si>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</si>
  <si>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</si>
  <si>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</si>
  <si>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</si>
  <si>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</si>
  <si>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</si>
  <si>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</si>
  <si>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</si>
  <si>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</si>
  <si>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</si>
  <si>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</si>
  <si>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</si>
  <si>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</si>
  <si>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</si>
  <si>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</si>
  <si>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</si>
  <si>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</si>
  <si>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</si>
  <si>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</si>
  <si>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</si>
  <si>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</si>
  <si>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</si>
  <si>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</si>
  <si>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</si>
  <si>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</si>
  <si>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</si>
  <si>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</si>
  <si>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</si>
  <si>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</si>
  <si>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</si>
  <si>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</si>
  <si>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</si>
  <si>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</si>
  <si>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</si>
  <si>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</si>
  <si>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</si>
  <si>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</si>
  <si>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</si>
  <si>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</si>
  <si>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</si>
  <si>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</si>
  <si>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</si>
  <si>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</si>
  <si>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</si>
  <si>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</si>
  <si>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</si>
  <si>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</si>
  <si>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</si>
  <si>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</si>
  <si>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</si>
  <si>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</si>
  <si>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</si>
  <si>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</si>
  <si>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</si>
  <si>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</si>
  <si>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</si>
  <si>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</si>
  <si>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</si>
  <si>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</si>
  <si>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</si>
  <si>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</si>
  <si>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</si>
  <si>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</si>
  <si>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</si>
  <si>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</si>
  <si>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</si>
  <si>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</si>
  <si>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</si>
  <si>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</si>
  <si>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</si>
  <si>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</si>
  <si>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</si>
  <si>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</si>
  <si>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</si>
  <si>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</si>
  <si>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</si>
  <si>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</si>
  <si>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</si>
  <si>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</si>
  <si>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</si>
  <si>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</si>
  <si>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</si>
  <si>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</si>
  <si>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</si>
  <si>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</si>
  <si>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</si>
  <si>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</si>
  <si>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</si>
  <si>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</si>
  <si>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</si>
  <si>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</si>
  <si>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</si>
  <si>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</si>
  <si>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</si>
  <si>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</si>
  <si>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</si>
  <si>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</si>
  <si>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</si>
  <si>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</si>
  <si>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</si>
  <si>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</si>
  <si>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</si>
  <si>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</si>
  <si>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</si>
  <si>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</si>
  <si>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</si>
  <si>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</si>
  <si>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</si>
  <si>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</si>
  <si>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</si>
  <si>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</si>
  <si>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</si>
  <si>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</si>
  <si>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</si>
  <si>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</si>
  <si>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</si>
  <si>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</si>
  <si>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</si>
  <si>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</si>
  <si>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</si>
  <si>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</si>
  <si>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</si>
  <si>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</si>
  <si>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</si>
  <si>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</si>
  <si>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</si>
  <si>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</si>
  <si>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</si>
  <si>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</si>
  <si>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</si>
  <si>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</si>
  <si>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</si>
  <si>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</si>
  <si>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</si>
  <si>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</si>
  <si>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</si>
  <si>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</si>
  <si>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</si>
  <si>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</si>
  <si>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</si>
  <si>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</si>
  <si>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</si>
  <si>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</si>
  <si>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</si>
  <si>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</si>
  <si>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</si>
  <si>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</si>
  <si>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</si>
  <si>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</si>
  <si>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</si>
  <si>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</si>
  <si>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</si>
  <si>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</si>
  <si>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</si>
  <si>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</si>
  <si>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</si>
  <si>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</si>
  <si>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</si>
  <si>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</si>
  <si>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</si>
  <si>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</si>
  <si>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</si>
  <si>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</si>
  <si>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</si>
  <si>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</si>
  <si>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</si>
  <si>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</si>
  <si>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</si>
  <si>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</si>
  <si>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</si>
  <si>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</si>
  <si>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</si>
  <si>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</si>
  <si>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</si>
  <si>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</si>
  <si>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</si>
  <si>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</si>
  <si>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</si>
  <si>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</si>
  <si>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</si>
  <si>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</si>
  <si>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</si>
  <si>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</si>
  <si>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</si>
  <si>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</si>
  <si>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</si>
  <si>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</si>
  <si>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</si>
  <si>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</si>
  <si>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</si>
  <si>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</si>
  <si>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</si>
  <si>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</si>
  <si>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</si>
  <si>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</si>
  <si>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</si>
  <si>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</si>
  <si>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</si>
  <si>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</si>
  <si>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</si>
  <si>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</si>
  <si>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</si>
  <si>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</si>
  <si>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</si>
  <si>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</si>
  <si>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</si>
  <si>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</si>
  <si>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</si>
  <si>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</si>
  <si>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</si>
  <si>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</si>
  <si>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</si>
  <si>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</si>
  <si>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</si>
  <si>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</si>
  <si>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</si>
  <si>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</si>
  <si>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</si>
  <si>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</si>
  <si>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</si>
  <si>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</si>
  <si>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</si>
  <si>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</si>
  <si>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</si>
  <si>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</si>
  <si>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</si>
  <si>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</si>
  <si>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</si>
  <si>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</si>
  <si>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</si>
  <si>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</si>
  <si>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</si>
  <si>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</si>
  <si>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</si>
  <si>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</si>
  <si>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</si>
  <si>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</si>
  <si>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</si>
  <si>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</si>
  <si>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</si>
  <si>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</si>
  <si>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</si>
  <si>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</si>
  <si>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</si>
  <si>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</si>
  <si>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</si>
  <si>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</si>
  <si>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</si>
  <si>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</si>
  <si>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</si>
  <si>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</si>
  <si>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</si>
  <si>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</si>
  <si>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</si>
  <si>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</si>
  <si>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</si>
  <si>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</si>
  <si>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</si>
  <si>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</si>
  <si>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</si>
  <si>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</si>
  <si>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</si>
  <si>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</si>
  <si>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</si>
  <si>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</si>
  <si>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</si>
  <si>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</si>
  <si>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</si>
  <si>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</si>
  <si>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</si>
  <si>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</si>
  <si>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</si>
  <si>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</si>
  <si>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</si>
  <si>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</si>
  <si>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</si>
  <si>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</si>
  <si>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</si>
  <si>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</si>
  <si>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</si>
  <si>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</si>
  <si>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</si>
  <si>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</si>
  <si>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</si>
  <si>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</si>
  <si>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</si>
  <si>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</si>
  <si>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</si>
  <si>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</si>
  <si>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</si>
  <si>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</si>
  <si>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</si>
  <si>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</si>
  <si>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</si>
  <si>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</si>
  <si>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</si>
  <si>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</si>
  <si>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</si>
  <si>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</si>
  <si>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</si>
  <si>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</si>
  <si>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</si>
  <si>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</si>
  <si>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</si>
  <si>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</si>
  <si>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</si>
  <si>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</si>
  <si>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</si>
  <si>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</si>
  <si>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</si>
  <si>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</si>
  <si>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</si>
  <si>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</si>
  <si>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</si>
  <si>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</si>
  <si>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</si>
  <si>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</si>
  <si>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</si>
  <si>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</si>
  <si>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</si>
  <si>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</si>
  <si>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</si>
  <si>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</si>
  <si>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</si>
  <si>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</si>
  <si>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</si>
  <si>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</si>
  <si>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</si>
  <si>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</si>
  <si>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</si>
  <si>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</si>
  <si>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</si>
  <si>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</si>
  <si>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</si>
  <si>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</si>
  <si>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</si>
  <si>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</si>
  <si>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</si>
  <si>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</si>
  <si>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</si>
  <si>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</si>
  <si>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</si>
  <si>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</si>
  <si>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</si>
  <si>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</si>
  <si>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</si>
  <si>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</si>
  <si>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</si>
  <si>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</si>
  <si>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</si>
  <si>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</si>
  <si>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</si>
  <si>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</si>
  <si>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</si>
  <si>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</si>
  <si>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</si>
  <si>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</si>
  <si>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</si>
  <si>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</si>
  <si>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</si>
  <si>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</si>
  <si>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</si>
  <si>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</si>
  <si>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</si>
  <si>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</si>
  <si>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</si>
  <si>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</si>
  <si>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</si>
  <si>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</si>
  <si>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</si>
  <si>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</si>
  <si>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</si>
  <si>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</si>
  <si>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</si>
  <si>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</si>
  <si>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</si>
  <si>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</si>
  <si>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</si>
  <si>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</si>
  <si>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</si>
  <si>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</si>
  <si>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</si>
  <si>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</si>
  <si>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</si>
  <si>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</si>
  <si>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</si>
  <si>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</si>
  <si>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</si>
  <si>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</si>
  <si>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</si>
  <si>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</si>
  <si>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</si>
  <si>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</si>
  <si>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</si>
  <si>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</si>
  <si>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</si>
  <si>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</si>
  <si>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</si>
  <si>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</si>
  <si>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</si>
  <si>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</si>
  <si>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</si>
  <si>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</si>
  <si>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</si>
  <si>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</si>
  <si>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</si>
  <si>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</si>
  <si>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</si>
  <si>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</si>
  <si>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</si>
  <si>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</si>
  <si>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</si>
  <si>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</si>
  <si>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</si>
  <si>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</si>
  <si>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</si>
  <si>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</si>
  <si>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ინფორმაცია მიკრობანკის სამეთვალყურეო საბჭოს, დირექტორატის და აქციონერთა შესახებ</t>
  </si>
  <si>
    <t>მიკრობანკი:</t>
  </si>
  <si>
    <r>
      <t xml:space="preserve">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t>
    </r>
    <r>
      <rPr>
        <sz val="8"/>
        <color rgb="FFFF0000"/>
        <rFont val="Sylfaen"/>
        <family val="1"/>
      </rPr>
      <t>მიკრო</t>
    </r>
    <r>
      <rPr>
        <sz val="8"/>
        <rFont val="Sylfaen"/>
        <family val="1"/>
      </rPr>
      <t>ბანკების კაპიტალის ადეკვატურობის მოთხოვნების შესახებ დებულების მე-</t>
    </r>
    <r>
      <rPr>
        <sz val="8"/>
        <color rgb="FFFF0000"/>
        <rFont val="Sylfaen"/>
        <family val="1"/>
      </rPr>
      <t>52</t>
    </r>
    <r>
      <rPr>
        <sz val="8"/>
        <rFont val="Sylfaen"/>
        <family val="1"/>
      </rPr>
      <t xml:space="preserve"> თავის მიხედვით.</t>
    </r>
  </si>
  <si>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</si>
  <si>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</si>
  <si>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</si>
  <si>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</si>
  <si>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</si>
  <si>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</si>
  <si>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</si>
  <si>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</si>
  <si>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</si>
  <si>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</si>
  <si>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</si>
  <si>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</si>
  <si>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</si>
  <si>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</si>
  <si>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</si>
  <si>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</si>
  <si>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</si>
  <si>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</si>
  <si>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</si>
  <si>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</si>
  <si>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საკრედიტო გადაფასების კორექტირება</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</si>
  <si>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</si>
  <si>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</si>
  <si>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ცხრილი 15 კონტრაგენტთან დაკავშირებული საკრედიტო რისკის მიხედვით შეწონილი რისკის პოზიციები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</si>
  <si>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ფაქტორის ნამრავლთან შედარებით</t>
    </r>
  </si>
  <si>
    <t>მიკრობანკის სრული დასახელება</t>
  </si>
  <si>
    <t>მიკრობანკის სამეთვალყურეო საბჭოს თავმჯდომარე</t>
  </si>
  <si>
    <t>მიკრობანკის გენერალური დირექტორი</t>
  </si>
  <si>
    <t>მიკრობანკის ვებ-გვერდი</t>
  </si>
  <si>
    <t>მიკრობანკის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2023 წლის 21 ივნისის N110/04 ბრძანებით დამტკიცებული "მიკრობანკების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</si>
  <si>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 xml:space="preserve">ფულადი სახსრები სხვა ბანკებში </t>
  </si>
  <si>
    <t>მიკრობანკის მიმართ არსებული მოთხოვნის უზრუნველყოფის მიზნით მიღებული გარანტიები</t>
  </si>
  <si>
    <t>მიკრობანკის მოთხოვნის უზრუნველყოფის მიზნით მიღებული გარანტიები</t>
  </si>
  <si>
    <t>მიკრობანკის ფინანსური აქტივები</t>
  </si>
  <si>
    <t>მიკრობანკის არაფინანსური აქტივები</t>
  </si>
  <si>
    <t>პოზიციის დასახელება/კონტროლს დაქვემდებარებული მიმართულება მიკრობანკში</t>
  </si>
  <si>
    <t>ინფორმაცია ბანკის მიკროსამეთვალყურეო საბჭოს, დირექტორატის და აქციონერთა შესახებ</t>
  </si>
  <si>
    <t>მიკრობანკების,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</si>
  <si>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</si>
  <si>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</si>
  <si>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ინვესტიციები მიკრობანკების,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</si>
  <si>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ფულადი სახსრები კომერციულ ბანკებში და სხვა მიკრობანკებში</t>
  </si>
  <si>
    <t>უპირობო და პირობითი მოთხოვნები კომერციული ბანკების და მიკრობანკების მიმართ</t>
  </si>
  <si>
    <t>მიკრობანკის, კომერციული ბანკის ან/და საფინანსო ინსტიტუტის გარანტიით უზრუნველყოფილი სესხები</t>
  </si>
  <si>
    <t>მიკრობანკის, კომერციული ბანკის ან/და საფინანსო ინსტიტუტის გარანტიით უზრუნველყოფილი ვალდებულებების ღირებულება</t>
  </si>
  <si>
    <t>1-ელ სტრიქონში უნდა ჩაიწეროს საანგარიშგებო თარიღისთვის არსებული მიკრობანკის მიერ მიღებული "სესხის გაცემის ვალდებულების"  ჯამური ნომინალური ღირებულება</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</si>
  <si>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მიკრობანკი წარმოადგენს პრინციპალს.</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</si>
  <si>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მიკრობანკი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</si>
  <si>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მიკრობანკის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მიკრობანკის მიმართ მოთხოვნების უზრუნველსაყოფად.</t>
  </si>
  <si>
    <t>მე-5 სტრიქონში უნდა ჩაიწეროს საანგარიშგებო თარიღისთვის მიკრობანკის კლიენტების მიერ მიკრობანკის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</si>
  <si>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მე-6 სტრიქონში უნდა ჩაიწეროს საანგარიშგებო თარიღისთვის არსებული მიკრობანკის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</si>
  <si>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მიკრობანკის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</si>
  <si>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მიკრობანკის მიერ გაცემული აკრედიტივების ჯამური ნომინალური ღირებულება</t>
  </si>
  <si>
    <t>მე-10 სტრიქონში უნდა ჩაიწეროს მიკრობანკის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</si>
  <si>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მიკრობანკის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</si>
  <si>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მიკრობანკის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მიკრობანკი უფლებამოსილია ნებისმიერ შევსებულ სტრიქონს დაურთოს განმარტებები.</t>
  </si>
  <si>
    <t>ცხრილის მიზნებისათვის მიკრობანკებმა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</si>
  <si>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მიკრობანკების კაპიტალის ადეკვატურობის მოთხოვნების შესახებ დებულების მე-6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</si>
  <si>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მიკრობანკების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</si>
  <si>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 xml:space="preserve">სტრიქონებში რისკის კლასები  მე-17 და მე-18 ცხრილისთვის განიმარტება მიკრობანკების კაპიტალის ადეკვატურობის მოთხოვნების შესახებ დებულების მე-20 მუხლის 1-ლი პუნქტის შესაბამისად.
</t>
  </si>
  <si>
    <t>რისკის პოზიცია - მიკრობანკების კაპიტალის ადეკვატურობის მოთხოვნების შესახებ დებულების შესაბამისად.</t>
  </si>
  <si>
    <t>კომერციული ბანკები, მიკრობანკები,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 და მიკრობანკებში.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</si>
  <si>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მიკრობანკში,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</si>
  <si>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მიკრობანკის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</si>
  <si>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t>ბანკები, მიკრობანკები და მრავალმხრივი ბანკები.</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</si>
  <si>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მიკრობანკის მხრიდან ხდება მიზნობრიობის კონტროლი.</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</si>
  <si>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</si>
  <si>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მიკრობანკისთვის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მიკრობანკს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</si>
  <si>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</si>
  <si>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</si>
  <si>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</si>
  <si>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t>* სებ-ის მეთოდოლოგიით გაანგარიშებული კოეფიციენტები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</si>
  <si>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მიკრობანკებისათვის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</si>
  <si>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მიკრობანკის მიმართ არსებული მოთხოვნის უზრუნველყოფის მიზნით დატვირთული ბანკის აქტივები</t>
  </si>
  <si>
    <t>საზედამხედველო ალფა ფაქტორი (α)</t>
  </si>
  <si>
    <t>კრისტალი</t>
  </si>
  <si>
    <t>არჩილ ბაკურაძე</t>
  </si>
  <si>
    <t>ილია რევია</t>
  </si>
  <si>
    <t>https://crystal.ge/</t>
  </si>
  <si>
    <t xml:space="preserve">                                                                                                                                           რისკის წონები
აქტივების კლასები</t>
  </si>
  <si>
    <r>
      <t xml:space="preserve">ვადაგადაცილება &gt; 30 დღეზე  </t>
    </r>
    <r>
      <rPr>
        <sz val="10"/>
        <rFont val="Calibri"/>
        <family val="2"/>
      </rPr>
      <t>≤</t>
    </r>
    <r>
      <rPr>
        <sz val="10"/>
        <rFont val="Sylfaen"/>
        <family val="1"/>
      </rPr>
      <t xml:space="preserve"> 90 დღეზე </t>
    </r>
  </si>
  <si>
    <t>არადამოუკიდებელ წევრი</t>
  </si>
  <si>
    <t>დამოუკიდებელი წევრი</t>
  </si>
  <si>
    <t>ლილიტ გარაიანი</t>
  </si>
  <si>
    <t>რობერტ სკოტ კოსმანი</t>
  </si>
  <si>
    <t>იან დევინგარტი</t>
  </si>
  <si>
    <t>დავით ბენდელიანი</t>
  </si>
  <si>
    <t>მელანია კუჭუხიძე</t>
  </si>
  <si>
    <t>კახა გაბესკირია</t>
  </si>
  <si>
    <t>ნინო ფანჯიკიძე</t>
  </si>
  <si>
    <t>გიორგი მეგენეიშვილი</t>
  </si>
  <si>
    <t>გენერალური დირექტორი</t>
  </si>
  <si>
    <t>ფინანსური დირექტორი</t>
  </si>
  <si>
    <t>კომერციული დირექტორი</t>
  </si>
  <si>
    <t>ლიზინგის დირექტორი</t>
  </si>
  <si>
    <t>საოპერაციო დირექტორი</t>
  </si>
  <si>
    <t>რისკების დირექტორი</t>
  </si>
  <si>
    <t>Agrif Cooperatief U.A.</t>
  </si>
  <si>
    <t>DWM Funds S.C.A.-SICAF-SIF</t>
  </si>
  <si>
    <t>მალხაზ ძაძუა</t>
  </si>
  <si>
    <t>ალუ გამახარია</t>
  </si>
  <si>
    <t>პაატა წოწონავა</t>
  </si>
  <si>
    <t>ვახტანგ ბაკურაძე</t>
  </si>
  <si>
    <t>კით იანგი</t>
  </si>
  <si>
    <t>ცხრილი 9 (Capital), N10</t>
  </si>
  <si>
    <t>ცხრილი 9 (Capital), N17</t>
  </si>
  <si>
    <t>ცხრილი 9 (Capital), N2</t>
  </si>
  <si>
    <t>ცხრილი 9 (Capital), N3</t>
  </si>
  <si>
    <t>ცხრილი 9 (Capital), N6</t>
  </si>
  <si>
    <t>ცხრილი 9 (Capital), N38</t>
  </si>
  <si>
    <t xml:space="preserve">არჩილ ბაკურაძე </t>
  </si>
  <si>
    <t>agRIF Cooperatief U.A (Netherlands)</t>
  </si>
  <si>
    <t>DWM Funds SCA SICAV SIF (Luxembourg)</t>
  </si>
  <si>
    <t>DWM Funds S.a.r.l. (Luxembourg)</t>
  </si>
  <si>
    <t>Developing World Finance, LLC (USA)</t>
  </si>
  <si>
    <t>DWM Holdings, LLC (USA)</t>
  </si>
  <si>
    <t>agRIF Feeder BV (Netherlands) reg# 855273975</t>
  </si>
  <si>
    <t>Nederlandse Financierings-Maatschappij voor Ontwikkelingslanden N.V. (FMO) (Netherlands)</t>
  </si>
  <si>
    <t>European Investment Bank (EIB)</t>
  </si>
  <si>
    <t>Societe De Promotion Et De Participation Pour La Cooperation Economique (PROPARCO) SA (France)</t>
  </si>
  <si>
    <t>Agence Française de Développement (AFD) (France)</t>
  </si>
  <si>
    <t>AXA Impact Fund II (Ireland)</t>
  </si>
  <si>
    <t>Axa Investment Managers UK Limitied (UK)</t>
  </si>
  <si>
    <t>AXA Investment Managers UK Holdings Limited (UK)</t>
  </si>
  <si>
    <t>AXA Investment Managers S.A. (France)</t>
  </si>
  <si>
    <t>AXA  S.A (France)</t>
  </si>
  <si>
    <t>Peter Johnson (USA)</t>
  </si>
  <si>
    <t>ლიკვიდობის გადაფარვის კოეფიციენტი***</t>
  </si>
  <si>
    <t>`</t>
  </si>
  <si>
    <t>სულ საკუთარი კაპიტალი*</t>
  </si>
  <si>
    <t>* მიკრობანკების საქმიანობის შესახებ კანონით განსაზღვრული სააქციო კაპიტალი</t>
  </si>
  <si>
    <t>დამოუკიდებელი თავმჯდომარე</t>
  </si>
  <si>
    <t>A_L დან</t>
  </si>
  <si>
    <t>არადამოუკიდებელი წევრი</t>
  </si>
  <si>
    <t>მომენტარული განვადება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</si>
</sst>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
    <numFmt numFmtId="195" formatCode="_-* #,##0_-;\-* #,##0_-;_-* &quot;-&quot;??_-;_-@_-"/>
  </numFmts>
  <fonts count="149">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color rgb="FF333333"/>
      <name val="Sylfaen"/>
      <family val="1"/>
    </font>
    <font>
      <i/>
      <sz val="10"/>
      <name val="Sylfaen"/>
      <family val="1"/>
    </font>
    <font>
      <i/>
      <sz val="10"/>
      <color theme="1"/>
      <name val="Sylfae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b/>
      <sz val="11"/>
      <name val="Sylfaen"/>
      <family val="1"/>
    </font>
    <font>
      <b/>
      <i/>
      <sz val="10"/>
      <color theme="1"/>
      <name val="Sylfaen"/>
      <family val="1"/>
    </font>
    <font>
      <b/>
      <sz val="8"/>
      <name val="Sylfaen"/>
      <family val="1"/>
    </font>
    <font>
      <sz val="8"/>
      <name val="Sylfaen"/>
      <family val="1"/>
    </font>
    <font>
      <b/>
      <i/>
      <u/>
      <sz val="8"/>
      <name val="Sylfaen"/>
      <family val="1"/>
    </font>
    <font>
      <sz val="10"/>
      <color theme="1"/>
      <name val="Calibri"/>
      <family val="1"/>
      <scheme val="minor"/>
    </font>
    <font>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sz val="10"/>
      <name val="Arial"/>
      <family val="2"/>
    </font>
    <font>
      <sz val="11"/>
      <name val="Calibri"/>
      <family val="2"/>
      <scheme val="minor"/>
    </font>
    <font>
      <u/>
      <sz val="8"/>
      <name val="Sylfaen"/>
      <family val="1"/>
    </font>
    <font>
      <sz val="8"/>
      <color theme="1"/>
      <name val="Sylfaen"/>
      <family val="1"/>
    </font>
    <font>
      <sz val="9"/>
      <color indexed="81"/>
      <name val="Tahoma"/>
      <family val="2"/>
    </font>
    <font>
      <b/>
      <sz val="9"/>
      <color indexed="81"/>
      <name val="Tahoma"/>
      <family val="2"/>
    </font>
    <font>
      <sz val="11"/>
      <color rgb="FFFF0000"/>
      <name val="Calibri"/>
      <family val="2"/>
      <scheme val="minor"/>
    </font>
    <font>
      <b/>
      <sz val="8"/>
      <color rgb="FFFF0000"/>
      <name val="Sylfaen"/>
      <family val="1"/>
    </font>
    <font>
      <sz val="8"/>
      <name val="Calibri"/>
      <family val="2"/>
    </font>
    <font>
      <sz val="11"/>
      <name val="Sylfaen"/>
      <family val="1"/>
    </font>
    <font>
      <b/>
      <i/>
      <sz val="10"/>
      <name val="Sylfaen"/>
      <family val="1"/>
    </font>
    <font>
      <u/>
      <sz val="10"/>
      <color indexed="12"/>
      <name val="Sylfaen"/>
      <family val="1"/>
    </font>
    <font>
      <sz val="11"/>
      <color theme="1"/>
      <name val="Sylfaen"/>
      <family val="1"/>
    </font>
    <font>
      <b/>
      <sz val="8"/>
      <color indexed="8"/>
      <name val="Sylfaen"/>
      <family val="1"/>
    </font>
    <font>
      <sz val="8"/>
      <color indexed="8"/>
      <name val="Sylfaen"/>
      <family val="1"/>
    </font>
    <font>
      <b/>
      <sz val="11"/>
      <color indexed="8"/>
      <name val="Sylfaen"/>
      <family val="1"/>
    </font>
    <font>
      <b/>
      <sz val="8"/>
      <color rgb="FF000000"/>
      <name val="Sylfaen"/>
      <family val="1"/>
    </font>
    <font>
      <i/>
      <sz val="11"/>
      <name val="Sylfaen"/>
      <family val="1"/>
    </font>
    <font>
      <b/>
      <i/>
      <sz val="11"/>
      <name val="Sylfaen"/>
      <family val="1"/>
    </font>
    <font>
      <b/>
      <sz val="11"/>
      <color theme="1"/>
      <name val="Sylfaen"/>
      <family val="1"/>
    </font>
    <font>
      <i/>
      <sz val="9"/>
      <name val="Sylfaen"/>
      <family val="1"/>
    </font>
    <font>
      <b/>
      <sz val="10"/>
      <color indexed="8"/>
      <name val="Sylfaen"/>
      <family val="1"/>
    </font>
    <font>
      <sz val="10"/>
      <color indexed="8"/>
      <name val="Sylfaen"/>
      <family val="1"/>
    </font>
    <font>
      <b/>
      <sz val="10"/>
      <color rgb="FF000000"/>
      <name val="Sylfaen"/>
      <family val="1"/>
    </font>
    <font>
      <b/>
      <sz val="10"/>
      <color rgb="FFFF0000"/>
      <name val="Sylfaen"/>
      <family val="1"/>
    </font>
    <font>
      <b/>
      <u/>
      <sz val="10"/>
      <name val="Sylfaen"/>
      <family val="1"/>
    </font>
    <font>
      <sz val="10"/>
      <name val="Calibri"/>
      <family val="2"/>
    </font>
    <font>
      <b/>
      <sz val="8"/>
      <color theme="1"/>
      <name val="Calibri"/>
      <family val="2"/>
      <scheme val="minor"/>
    </font>
    <font>
      <b/>
      <sz val="9"/>
      <name val="Calibri"/>
      <family val="2"/>
      <scheme val="minor"/>
    </font>
    <font>
      <b/>
      <sz val="9"/>
      <color theme="1"/>
      <name val="Calibri"/>
      <family val="2"/>
      <scheme val="minor"/>
    </font>
    <font>
      <b/>
      <sz val="10"/>
      <color rgb="FFFF0000"/>
      <name val="Calibri"/>
      <family val="2"/>
      <scheme val="minor"/>
    </font>
    <font>
      <b/>
      <sz val="11"/>
      <color rgb="FFFF0000"/>
      <name val="Calibri"/>
      <family val="2"/>
      <scheme val="minor"/>
    </font>
    <font>
      <b/>
      <i/>
      <sz val="9"/>
      <color theme="1"/>
      <name val="Sylfaen"/>
      <family val="1"/>
    </font>
    <font>
      <b/>
      <sz val="9"/>
      <color rgb="FFFF0000"/>
      <name val="Sylfaen"/>
      <family val="1"/>
    </font>
    <font>
      <sz val="9"/>
      <name val="Calibri"/>
      <family val="2"/>
      <scheme val="minor"/>
    </font>
    <font>
      <b/>
      <i/>
      <sz val="11"/>
      <name val="Calibri"/>
      <family val="2"/>
      <scheme val="minor"/>
    </font>
    <font>
      <sz val="10"/>
      <color rgb="FF000000"/>
      <name val="Sylfaen"/>
      <family val="1"/>
    </font>
    <font>
      <sz val="10"/>
      <color rgb="FFC00000"/>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s>
  <borders count="149">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21419">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6" fillId="0" borderId="0"/>
    <xf numFmtId="0" fontId="6" fillId="0" borderId="0"/>
    <xf numFmtId="164" fontId="6" fillId="0" borderId="0" applyFont="0" applyFill="0" applyBorder="0" applyAlignment="0" applyProtection="0"/>
    <xf numFmtId="0" fontId="2" fillId="0" borderId="0"/>
    <xf numFmtId="0" fontId="6" fillId="0" borderId="0"/>
    <xf numFmtId="0" fontId="1" fillId="0" borderId="0"/>
    <xf numFmtId="9" fontId="1" fillId="0" borderId="0" applyFont="0" applyFill="0" applyBorder="0" applyAlignment="0" applyProtection="0"/>
    <xf numFmtId="0" fontId="2" fillId="0" borderId="0"/>
    <xf numFmtId="0" fontId="2" fillId="0" borderId="0"/>
    <xf numFmtId="0" fontId="9" fillId="0" borderId="0" applyNumberFormat="0" applyFill="0" applyBorder="0" applyAlignment="0" applyProtection="0">
      <alignment vertical="top"/>
      <protection locked="0"/>
    </xf>
    <xf numFmtId="0" fontId="17" fillId="0" borderId="0"/>
    <xf numFmtId="168" fontId="18" fillId="36" borderId="0"/>
    <xf numFmtId="169" fontId="18" fillId="36" borderId="0"/>
    <xf numFmtId="168" fontId="18" fillId="36" borderId="0"/>
    <xf numFmtId="0" fontId="19" fillId="37"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0" fontId="19"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168" fontId="20" fillId="37" borderId="0" applyNumberFormat="0" applyBorder="0" applyAlignment="0" applyProtection="0"/>
    <xf numFmtId="169" fontId="20" fillId="37" borderId="0" applyNumberFormat="0" applyBorder="0" applyAlignment="0" applyProtection="0"/>
    <xf numFmtId="168" fontId="20"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0" fontId="19"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168" fontId="20" fillId="38" borderId="0" applyNumberFormat="0" applyBorder="0" applyAlignment="0" applyProtection="0"/>
    <xf numFmtId="169" fontId="20" fillId="38" borderId="0" applyNumberFormat="0" applyBorder="0" applyAlignment="0" applyProtection="0"/>
    <xf numFmtId="168" fontId="20"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0" fontId="19"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168" fontId="20" fillId="39" borderId="0" applyNumberFormat="0" applyBorder="0" applyAlignment="0" applyProtection="0"/>
    <xf numFmtId="169" fontId="20" fillId="39" borderId="0" applyNumberFormat="0" applyBorder="0" applyAlignment="0" applyProtection="0"/>
    <xf numFmtId="168" fontId="20"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0" fontId="19"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168" fontId="20" fillId="41" borderId="0" applyNumberFormat="0" applyBorder="0" applyAlignment="0" applyProtection="0"/>
    <xf numFmtId="169" fontId="20" fillId="41" borderId="0" applyNumberFormat="0" applyBorder="0" applyAlignment="0" applyProtection="0"/>
    <xf numFmtId="168" fontId="20"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0" fontId="19"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168" fontId="20" fillId="42" borderId="0" applyNumberFormat="0" applyBorder="0" applyAlignment="0" applyProtection="0"/>
    <xf numFmtId="169" fontId="20" fillId="42" borderId="0" applyNumberFormat="0" applyBorder="0" applyAlignment="0" applyProtection="0"/>
    <xf numFmtId="168" fontId="20"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0" fontId="19"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168" fontId="20" fillId="44" borderId="0" applyNumberFormat="0" applyBorder="0" applyAlignment="0" applyProtection="0"/>
    <xf numFmtId="169" fontId="20" fillId="44" borderId="0" applyNumberFormat="0" applyBorder="0" applyAlignment="0" applyProtection="0"/>
    <xf numFmtId="168" fontId="20" fillId="44" borderId="0" applyNumberFormat="0" applyBorder="0" applyAlignment="0" applyProtection="0"/>
    <xf numFmtId="0" fontId="19" fillId="44"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0" fontId="19"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168" fontId="20" fillId="45" borderId="0" applyNumberFormat="0" applyBorder="0" applyAlignment="0" applyProtection="0"/>
    <xf numFmtId="169" fontId="20" fillId="45" borderId="0" applyNumberFormat="0" applyBorder="0" applyAlignment="0" applyProtection="0"/>
    <xf numFmtId="168" fontId="20" fillId="45" borderId="0" applyNumberFormat="0" applyBorder="0" applyAlignment="0" applyProtection="0"/>
    <xf numFmtId="0" fontId="19" fillId="45"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0" fontId="19"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168" fontId="20" fillId="40" borderId="0" applyNumberFormat="0" applyBorder="0" applyAlignment="0" applyProtection="0"/>
    <xf numFmtId="169" fontId="20" fillId="40" borderId="0" applyNumberFormat="0" applyBorder="0" applyAlignment="0" applyProtection="0"/>
    <xf numFmtId="168" fontId="20" fillId="40" borderId="0" applyNumberFormat="0" applyBorder="0" applyAlignment="0" applyProtection="0"/>
    <xf numFmtId="0" fontId="19" fillId="40"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0" fontId="19"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168" fontId="20" fillId="43" borderId="0" applyNumberFormat="0" applyBorder="0" applyAlignment="0" applyProtection="0"/>
    <xf numFmtId="169" fontId="20" fillId="43" borderId="0" applyNumberFormat="0" applyBorder="0" applyAlignment="0" applyProtection="0"/>
    <xf numFmtId="168" fontId="20" fillId="43" borderId="0" applyNumberFormat="0" applyBorder="0" applyAlignment="0" applyProtection="0"/>
    <xf numFmtId="0" fontId="19" fillId="43"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0" fontId="19"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168" fontId="20" fillId="46" borderId="0" applyNumberFormat="0" applyBorder="0" applyAlignment="0" applyProtection="0"/>
    <xf numFmtId="169" fontId="20" fillId="46" borderId="0" applyNumberFormat="0" applyBorder="0" applyAlignment="0" applyProtection="0"/>
    <xf numFmtId="168" fontId="20" fillId="46" borderId="0" applyNumberFormat="0" applyBorder="0" applyAlignment="0" applyProtection="0"/>
    <xf numFmtId="0" fontId="19" fillId="46"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0" fontId="21" fillId="47"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168" fontId="23" fillId="47" borderId="0" applyNumberFormat="0" applyBorder="0" applyAlignment="0" applyProtection="0"/>
    <xf numFmtId="169" fontId="23" fillId="47" borderId="0" applyNumberFormat="0" applyBorder="0" applyAlignment="0" applyProtection="0"/>
    <xf numFmtId="168" fontId="23" fillId="47" borderId="0" applyNumberFormat="0" applyBorder="0" applyAlignment="0" applyProtection="0"/>
    <xf numFmtId="0" fontId="21" fillId="47"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0" fontId="21" fillId="44"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0" fontId="22" fillId="18"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168" fontId="23" fillId="44" borderId="0" applyNumberFormat="0" applyBorder="0" applyAlignment="0" applyProtection="0"/>
    <xf numFmtId="169" fontId="23" fillId="44" borderId="0" applyNumberFormat="0" applyBorder="0" applyAlignment="0" applyProtection="0"/>
    <xf numFmtId="168" fontId="23" fillId="44" borderId="0" applyNumberFormat="0" applyBorder="0" applyAlignment="0" applyProtection="0"/>
    <xf numFmtId="0" fontId="21" fillId="44"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0" fontId="21" fillId="45"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168" fontId="23" fillId="45" borderId="0" applyNumberFormat="0" applyBorder="0" applyAlignment="0" applyProtection="0"/>
    <xf numFmtId="169" fontId="23" fillId="45" borderId="0" applyNumberFormat="0" applyBorder="0" applyAlignment="0" applyProtection="0"/>
    <xf numFmtId="168" fontId="23" fillId="45" borderId="0" applyNumberFormat="0" applyBorder="0" applyAlignment="0" applyProtection="0"/>
    <xf numFmtId="0" fontId="21" fillId="45"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0" fontId="22" fillId="26"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0" fontId="21" fillId="50"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168" fontId="23" fillId="50" borderId="0" applyNumberFormat="0" applyBorder="0" applyAlignment="0" applyProtection="0"/>
    <xf numFmtId="169" fontId="23" fillId="50" borderId="0" applyNumberFormat="0" applyBorder="0" applyAlignment="0" applyProtection="0"/>
    <xf numFmtId="168" fontId="23" fillId="50" borderId="0" applyNumberFormat="0" applyBorder="0" applyAlignment="0" applyProtection="0"/>
    <xf numFmtId="0" fontId="21" fillId="50" borderId="0" applyNumberFormat="0" applyBorder="0" applyAlignment="0" applyProtection="0"/>
    <xf numFmtId="0" fontId="19" fillId="51"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0" fontId="21" fillId="53"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168" fontId="23" fillId="53" borderId="0" applyNumberFormat="0" applyBorder="0" applyAlignment="0" applyProtection="0"/>
    <xf numFmtId="169" fontId="23" fillId="53" borderId="0" applyNumberFormat="0" applyBorder="0" applyAlignment="0" applyProtection="0"/>
    <xf numFmtId="168" fontId="23"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19" fillId="54" borderId="0" applyNumberFormat="0" applyBorder="0" applyAlignment="0" applyProtection="0"/>
    <xf numFmtId="0" fontId="19" fillId="55" borderId="0" applyNumberFormat="0" applyBorder="0" applyAlignment="0" applyProtection="0"/>
    <xf numFmtId="0" fontId="21" fillId="56"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0" fontId="21" fillId="57"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168" fontId="23" fillId="57" borderId="0" applyNumberFormat="0" applyBorder="0" applyAlignment="0" applyProtection="0"/>
    <xf numFmtId="169" fontId="23" fillId="57" borderId="0" applyNumberFormat="0" applyBorder="0" applyAlignment="0" applyProtection="0"/>
    <xf numFmtId="168" fontId="23"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21" fillId="57" borderId="0" applyNumberFormat="0" applyBorder="0" applyAlignment="0" applyProtection="0"/>
    <xf numFmtId="0" fontId="19" fillId="54" borderId="0" applyNumberFormat="0" applyBorder="0" applyAlignment="0" applyProtection="0"/>
    <xf numFmtId="0" fontId="19" fillId="58" borderId="0" applyNumberFormat="0" applyBorder="0" applyAlignment="0" applyProtection="0"/>
    <xf numFmtId="0" fontId="21" fillId="55"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0" fontId="21" fillId="5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0" fontId="22" fillId="1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168" fontId="23" fillId="59" borderId="0" applyNumberFormat="0" applyBorder="0" applyAlignment="0" applyProtection="0"/>
    <xf numFmtId="169" fontId="23" fillId="59" borderId="0" applyNumberFormat="0" applyBorder="0" applyAlignment="0" applyProtection="0"/>
    <xf numFmtId="168" fontId="23"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21" fillId="59" borderId="0" applyNumberFormat="0" applyBorder="0" applyAlignment="0" applyProtection="0"/>
    <xf numFmtId="0" fontId="19" fillId="51" borderId="0" applyNumberFormat="0" applyBorder="0" applyAlignment="0" applyProtection="0"/>
    <xf numFmtId="0" fontId="19" fillId="55" borderId="0" applyNumberFormat="0" applyBorder="0" applyAlignment="0" applyProtection="0"/>
    <xf numFmtId="0" fontId="21" fillId="55"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0" fontId="21" fillId="48"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168" fontId="23" fillId="48" borderId="0" applyNumberFormat="0" applyBorder="0" applyAlignment="0" applyProtection="0"/>
    <xf numFmtId="169" fontId="23" fillId="48" borderId="0" applyNumberFormat="0" applyBorder="0" applyAlignment="0" applyProtection="0"/>
    <xf numFmtId="168" fontId="23"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21" fillId="48" borderId="0" applyNumberFormat="0" applyBorder="0" applyAlignment="0" applyProtection="0"/>
    <xf numFmtId="0" fontId="19" fillId="60" borderId="0" applyNumberFormat="0" applyBorder="0" applyAlignment="0" applyProtection="0"/>
    <xf numFmtId="0" fontId="19" fillId="51" borderId="0" applyNumberFormat="0" applyBorder="0" applyAlignment="0" applyProtection="0"/>
    <xf numFmtId="0" fontId="21" fillId="52"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0" fontId="21" fillId="49"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2" fillId="27"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168" fontId="23" fillId="49" borderId="0" applyNumberFormat="0" applyBorder="0" applyAlignment="0" applyProtection="0"/>
    <xf numFmtId="169" fontId="23" fillId="49" borderId="0" applyNumberFormat="0" applyBorder="0" applyAlignment="0" applyProtection="0"/>
    <xf numFmtId="168" fontId="23"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21" fillId="49" borderId="0" applyNumberFormat="0" applyBorder="0" applyAlignment="0" applyProtection="0"/>
    <xf numFmtId="0" fontId="19" fillId="54" borderId="0" applyNumberFormat="0" applyBorder="0" applyAlignment="0" applyProtection="0"/>
    <xf numFmtId="0" fontId="19" fillId="61"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0" fontId="21" fillId="62"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0" fontId="22" fillId="31"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168" fontId="23" fillId="62" borderId="0" applyNumberFormat="0" applyBorder="0" applyAlignment="0" applyProtection="0"/>
    <xf numFmtId="169" fontId="23" fillId="62" borderId="0" applyNumberFormat="0" applyBorder="0" applyAlignment="0" applyProtection="0"/>
    <xf numFmtId="168" fontId="23"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1" fillId="62"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0" fontId="24" fillId="38"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168" fontId="26" fillId="38" borderId="0" applyNumberFormat="0" applyBorder="0" applyAlignment="0" applyProtection="0"/>
    <xf numFmtId="169" fontId="26" fillId="38" borderId="0" applyNumberFormat="0" applyBorder="0" applyAlignment="0" applyProtection="0"/>
    <xf numFmtId="168" fontId="26" fillId="38" borderId="0" applyNumberFormat="0" applyBorder="0" applyAlignment="0" applyProtection="0"/>
    <xf numFmtId="0" fontId="24" fillId="38" borderId="0" applyNumberFormat="0" applyBorder="0" applyAlignment="0" applyProtection="0"/>
    <xf numFmtId="170" fontId="27"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1" fontId="29" fillId="0" borderId="0" applyFill="0" applyBorder="0" applyAlignment="0"/>
    <xf numFmtId="171" fontId="29"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0" fontId="28" fillId="0" borderId="0" applyFill="0" applyBorder="0" applyAlignment="0"/>
    <xf numFmtId="172" fontId="29" fillId="0" borderId="0" applyFill="0" applyBorder="0" applyAlignment="0"/>
    <xf numFmtId="173" fontId="29" fillId="0" borderId="0" applyFill="0" applyBorder="0" applyAlignment="0"/>
    <xf numFmtId="174" fontId="29" fillId="0" borderId="0" applyFill="0" applyBorder="0" applyAlignment="0"/>
    <xf numFmtId="175"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168" fontId="32"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168" fontId="32"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169" fontId="32"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1" fillId="8" borderId="24"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0" fontId="30" fillId="63" borderId="30" applyNumberFormat="0" applyAlignment="0" applyProtection="0"/>
    <xf numFmtId="168" fontId="32" fillId="63" borderId="30" applyNumberFormat="0" applyAlignment="0" applyProtection="0"/>
    <xf numFmtId="169" fontId="32" fillId="63" borderId="30" applyNumberFormat="0" applyAlignment="0" applyProtection="0"/>
    <xf numFmtId="168" fontId="32" fillId="63" borderId="30" applyNumberFormat="0" applyAlignment="0" applyProtection="0"/>
    <xf numFmtId="168" fontId="32" fillId="63" borderId="30" applyNumberFormat="0" applyAlignment="0" applyProtection="0"/>
    <xf numFmtId="169" fontId="32" fillId="63" borderId="30" applyNumberFormat="0" applyAlignment="0" applyProtection="0"/>
    <xf numFmtId="168" fontId="32" fillId="63" borderId="30" applyNumberFormat="0" applyAlignment="0" applyProtection="0"/>
    <xf numFmtId="168" fontId="32" fillId="63" borderId="30" applyNumberFormat="0" applyAlignment="0" applyProtection="0"/>
    <xf numFmtId="169" fontId="32" fillId="63" borderId="30" applyNumberFormat="0" applyAlignment="0" applyProtection="0"/>
    <xf numFmtId="168" fontId="32" fillId="63" borderId="30" applyNumberFormat="0" applyAlignment="0" applyProtection="0"/>
    <xf numFmtId="168" fontId="32" fillId="63" borderId="30" applyNumberFormat="0" applyAlignment="0" applyProtection="0"/>
    <xf numFmtId="169" fontId="32" fillId="63" borderId="30" applyNumberFormat="0" applyAlignment="0" applyProtection="0"/>
    <xf numFmtId="168" fontId="32" fillId="63" borderId="30" applyNumberFormat="0" applyAlignment="0" applyProtection="0"/>
    <xf numFmtId="0" fontId="30" fillId="63" borderId="30" applyNumberFormat="0" applyAlignment="0" applyProtection="0"/>
    <xf numFmtId="0" fontId="33" fillId="64" borderId="31" applyNumberFormat="0" applyAlignment="0" applyProtection="0"/>
    <xf numFmtId="0" fontId="34" fillId="9" borderId="27" applyNumberFormat="0" applyAlignment="0" applyProtection="0"/>
    <xf numFmtId="168"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0" fontId="33"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0" fontId="34" fillId="9" borderId="27"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169" fontId="35" fillId="64" borderId="31" applyNumberFormat="0" applyAlignment="0" applyProtection="0"/>
    <xf numFmtId="168" fontId="35" fillId="64" borderId="31" applyNumberFormat="0" applyAlignment="0" applyProtection="0"/>
    <xf numFmtId="0" fontId="33" fillId="64" borderId="31"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6"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178"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 fillId="0" borderId="0"/>
    <xf numFmtId="172" fontId="29"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7" fillId="0" borderId="0"/>
    <xf numFmtId="14" fontId="38" fillId="0" borderId="0" applyFill="0" applyBorder="0" applyAlignment="0"/>
    <xf numFmtId="38" fontId="18" fillId="0" borderId="32">
      <alignment vertical="center"/>
    </xf>
    <xf numFmtId="38" fontId="18" fillId="0" borderId="32">
      <alignment vertical="center"/>
    </xf>
    <xf numFmtId="38" fontId="18" fillId="0" borderId="32">
      <alignment vertical="center"/>
    </xf>
    <xf numFmtId="38" fontId="18" fillId="0" borderId="32">
      <alignment vertical="center"/>
    </xf>
    <xf numFmtId="38" fontId="18" fillId="0" borderId="32">
      <alignment vertical="center"/>
    </xf>
    <xf numFmtId="38" fontId="18" fillId="0" borderId="32">
      <alignment vertical="center"/>
    </xf>
    <xf numFmtId="38" fontId="18" fillId="0" borderId="32">
      <alignment vertical="center"/>
    </xf>
    <xf numFmtId="38" fontId="18" fillId="0" borderId="0" applyFont="0" applyFill="0" applyBorder="0" applyAlignment="0" applyProtection="0"/>
    <xf numFmtId="180" fontId="2" fillId="0" borderId="0" applyFont="0" applyFill="0" applyBorder="0" applyAlignment="0" applyProtection="0"/>
    <xf numFmtId="0" fontId="39" fillId="65" borderId="0" applyNumberFormat="0" applyBorder="0" applyAlignment="0" applyProtection="0"/>
    <xf numFmtId="0" fontId="39" fillId="66" borderId="0" applyNumberFormat="0" applyBorder="0" applyAlignment="0" applyProtection="0"/>
    <xf numFmtId="0" fontId="39" fillId="67" borderId="0" applyNumberFormat="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168" fontId="42" fillId="0" borderId="0" applyNumberFormat="0" applyFill="0" applyBorder="0" applyAlignment="0" applyProtection="0"/>
    <xf numFmtId="169" fontId="42" fillId="0" borderId="0" applyNumberFormat="0" applyFill="0" applyBorder="0" applyAlignment="0" applyProtection="0"/>
    <xf numFmtId="168" fontId="42" fillId="0" borderId="0" applyNumberFormat="0" applyFill="0" applyBorder="0" applyAlignment="0" applyProtection="0"/>
    <xf numFmtId="0" fontId="40" fillId="0" borderId="0" applyNumberFormat="0" applyFill="0" applyBorder="0" applyAlignment="0" applyProtection="0"/>
    <xf numFmtId="168" fontId="2" fillId="0" borderId="0"/>
    <xf numFmtId="0" fontId="2" fillId="0" borderId="0"/>
    <xf numFmtId="168" fontId="2" fillId="0" borderId="0"/>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28" fillId="0" borderId="3" applyNumberFormat="0" applyAlignment="0">
      <alignment horizontal="right"/>
      <protection locked="0"/>
    </xf>
    <xf numFmtId="0" fontId="43" fillId="39"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0" fontId="43" fillId="39"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168" fontId="45" fillId="39" borderId="0" applyNumberFormat="0" applyBorder="0" applyAlignment="0" applyProtection="0"/>
    <xf numFmtId="169" fontId="45" fillId="39" borderId="0" applyNumberFormat="0" applyBorder="0" applyAlignment="0" applyProtection="0"/>
    <xf numFmtId="168" fontId="45" fillId="39" borderId="0" applyNumberFormat="0" applyBorder="0" applyAlignment="0" applyProtection="0"/>
    <xf numFmtId="0" fontId="43" fillId="39" borderId="0" applyNumberFormat="0" applyBorder="0" applyAlignment="0" applyProtection="0"/>
    <xf numFmtId="0" fontId="2" fillId="68" borderId="3" applyNumberFormat="0" applyFont="0" applyBorder="0" applyProtection="0">
      <alignment horizontal="center" vertical="center"/>
    </xf>
    <xf numFmtId="0" fontId="46" fillId="0" borderId="23" applyNumberFormat="0" applyAlignment="0" applyProtection="0">
      <alignment horizontal="left" vertical="center"/>
    </xf>
    <xf numFmtId="0" fontId="46" fillId="0" borderId="23" applyNumberFormat="0" applyAlignment="0" applyProtection="0">
      <alignment horizontal="left" vertical="center"/>
    </xf>
    <xf numFmtId="168" fontId="46" fillId="0" borderId="23" applyNumberFormat="0" applyAlignment="0" applyProtection="0">
      <alignment horizontal="left" vertical="center"/>
    </xf>
    <xf numFmtId="0" fontId="46" fillId="0" borderId="7">
      <alignment horizontal="left" vertical="center"/>
    </xf>
    <xf numFmtId="0" fontId="46" fillId="0" borderId="7">
      <alignment horizontal="left" vertical="center"/>
    </xf>
    <xf numFmtId="168" fontId="46" fillId="0" borderId="7">
      <alignment horizontal="left" vertical="center"/>
    </xf>
    <xf numFmtId="0" fontId="47" fillId="0" borderId="33" applyNumberFormat="0" applyFill="0" applyAlignment="0" applyProtection="0"/>
    <xf numFmtId="169" fontId="47" fillId="0" borderId="33" applyNumberFormat="0" applyFill="0" applyAlignment="0" applyProtection="0"/>
    <xf numFmtId="0" fontId="47" fillId="0" borderId="33" applyNumberFormat="0" applyFill="0" applyAlignment="0" applyProtection="0"/>
    <xf numFmtId="168" fontId="47" fillId="0" borderId="33" applyNumberFormat="0" applyFill="0" applyAlignment="0" applyProtection="0"/>
    <xf numFmtId="168" fontId="47" fillId="0" borderId="33" applyNumberFormat="0" applyFill="0" applyAlignment="0" applyProtection="0"/>
    <xf numFmtId="168" fontId="47" fillId="0" borderId="33" applyNumberFormat="0" applyFill="0" applyAlignment="0" applyProtection="0"/>
    <xf numFmtId="169" fontId="47" fillId="0" borderId="33" applyNumberFormat="0" applyFill="0" applyAlignment="0" applyProtection="0"/>
    <xf numFmtId="168" fontId="47" fillId="0" borderId="33" applyNumberFormat="0" applyFill="0" applyAlignment="0" applyProtection="0"/>
    <xf numFmtId="168" fontId="47" fillId="0" borderId="33" applyNumberFormat="0" applyFill="0" applyAlignment="0" applyProtection="0"/>
    <xf numFmtId="169" fontId="47" fillId="0" borderId="33" applyNumberFormat="0" applyFill="0" applyAlignment="0" applyProtection="0"/>
    <xf numFmtId="168" fontId="47" fillId="0" borderId="33" applyNumberFormat="0" applyFill="0" applyAlignment="0" applyProtection="0"/>
    <xf numFmtId="168" fontId="47" fillId="0" borderId="33" applyNumberFormat="0" applyFill="0" applyAlignment="0" applyProtection="0"/>
    <xf numFmtId="169" fontId="47" fillId="0" borderId="33" applyNumberFormat="0" applyFill="0" applyAlignment="0" applyProtection="0"/>
    <xf numFmtId="168" fontId="47" fillId="0" borderId="33" applyNumberFormat="0" applyFill="0" applyAlignment="0" applyProtection="0"/>
    <xf numFmtId="168" fontId="47" fillId="0" borderId="33" applyNumberFormat="0" applyFill="0" applyAlignment="0" applyProtection="0"/>
    <xf numFmtId="169" fontId="47" fillId="0" borderId="33" applyNumberFormat="0" applyFill="0" applyAlignment="0" applyProtection="0"/>
    <xf numFmtId="168" fontId="47" fillId="0" borderId="33" applyNumberFormat="0" applyFill="0" applyAlignment="0" applyProtection="0"/>
    <xf numFmtId="0" fontId="47" fillId="0" borderId="33" applyNumberFormat="0" applyFill="0" applyAlignment="0" applyProtection="0"/>
    <xf numFmtId="0" fontId="48" fillId="0" borderId="34" applyNumberFormat="0" applyFill="0" applyAlignment="0" applyProtection="0"/>
    <xf numFmtId="169" fontId="48" fillId="0" borderId="34" applyNumberFormat="0" applyFill="0" applyAlignment="0" applyProtection="0"/>
    <xf numFmtId="0" fontId="48" fillId="0" borderId="34" applyNumberFormat="0" applyFill="0" applyAlignment="0" applyProtection="0"/>
    <xf numFmtId="168" fontId="48" fillId="0" borderId="34" applyNumberFormat="0" applyFill="0" applyAlignment="0" applyProtection="0"/>
    <xf numFmtId="168" fontId="48" fillId="0" borderId="34" applyNumberFormat="0" applyFill="0" applyAlignment="0" applyProtection="0"/>
    <xf numFmtId="168" fontId="48" fillId="0" borderId="34" applyNumberFormat="0" applyFill="0" applyAlignment="0" applyProtection="0"/>
    <xf numFmtId="169" fontId="48" fillId="0" borderId="34" applyNumberFormat="0" applyFill="0" applyAlignment="0" applyProtection="0"/>
    <xf numFmtId="168" fontId="48" fillId="0" borderId="34" applyNumberFormat="0" applyFill="0" applyAlignment="0" applyProtection="0"/>
    <xf numFmtId="168" fontId="48" fillId="0" borderId="34" applyNumberFormat="0" applyFill="0" applyAlignment="0" applyProtection="0"/>
    <xf numFmtId="169" fontId="48" fillId="0" borderId="34" applyNumberFormat="0" applyFill="0" applyAlignment="0" applyProtection="0"/>
    <xf numFmtId="168" fontId="48" fillId="0" borderId="34" applyNumberFormat="0" applyFill="0" applyAlignment="0" applyProtection="0"/>
    <xf numFmtId="168" fontId="48" fillId="0" borderId="34" applyNumberFormat="0" applyFill="0" applyAlignment="0" applyProtection="0"/>
    <xf numFmtId="169" fontId="48" fillId="0" borderId="34" applyNumberFormat="0" applyFill="0" applyAlignment="0" applyProtection="0"/>
    <xf numFmtId="168" fontId="48" fillId="0" borderId="34" applyNumberFormat="0" applyFill="0" applyAlignment="0" applyProtection="0"/>
    <xf numFmtId="168" fontId="48" fillId="0" borderId="34" applyNumberFormat="0" applyFill="0" applyAlignment="0" applyProtection="0"/>
    <xf numFmtId="169" fontId="48" fillId="0" borderId="34" applyNumberFormat="0" applyFill="0" applyAlignment="0" applyProtection="0"/>
    <xf numFmtId="168" fontId="48" fillId="0" borderId="34" applyNumberFormat="0" applyFill="0" applyAlignment="0" applyProtection="0"/>
    <xf numFmtId="0" fontId="48" fillId="0" borderId="34" applyNumberFormat="0" applyFill="0" applyAlignment="0" applyProtection="0"/>
    <xf numFmtId="0" fontId="49" fillId="0" borderId="35" applyNumberFormat="0" applyFill="0" applyAlignment="0" applyProtection="0"/>
    <xf numFmtId="169" fontId="49" fillId="0" borderId="35" applyNumberFormat="0" applyFill="0" applyAlignment="0" applyProtection="0"/>
    <xf numFmtId="0" fontId="49" fillId="0" borderId="35" applyNumberFormat="0" applyFill="0" applyAlignment="0" applyProtection="0"/>
    <xf numFmtId="168" fontId="49" fillId="0" borderId="35" applyNumberFormat="0" applyFill="0" applyAlignment="0" applyProtection="0"/>
    <xf numFmtId="0" fontId="49" fillId="0" borderId="35" applyNumberFormat="0" applyFill="0" applyAlignment="0" applyProtection="0"/>
    <xf numFmtId="168" fontId="49" fillId="0" borderId="35" applyNumberFormat="0" applyFill="0" applyAlignment="0" applyProtection="0"/>
    <xf numFmtId="0" fontId="49" fillId="0" borderId="35" applyNumberFormat="0" applyFill="0" applyAlignment="0" applyProtection="0"/>
    <xf numFmtId="0" fontId="49" fillId="0" borderId="35" applyNumberFormat="0" applyFill="0" applyAlignment="0" applyProtection="0"/>
    <xf numFmtId="168" fontId="49" fillId="0" borderId="35" applyNumberFormat="0" applyFill="0" applyAlignment="0" applyProtection="0"/>
    <xf numFmtId="169" fontId="49" fillId="0" borderId="35" applyNumberFormat="0" applyFill="0" applyAlignment="0" applyProtection="0"/>
    <xf numFmtId="168" fontId="49" fillId="0" borderId="35" applyNumberFormat="0" applyFill="0" applyAlignment="0" applyProtection="0"/>
    <xf numFmtId="168" fontId="49" fillId="0" borderId="35" applyNumberFormat="0" applyFill="0" applyAlignment="0" applyProtection="0"/>
    <xf numFmtId="169" fontId="49" fillId="0" borderId="35" applyNumberFormat="0" applyFill="0" applyAlignment="0" applyProtection="0"/>
    <xf numFmtId="168" fontId="49" fillId="0" borderId="35" applyNumberFormat="0" applyFill="0" applyAlignment="0" applyProtection="0"/>
    <xf numFmtId="168" fontId="49" fillId="0" borderId="35" applyNumberFormat="0" applyFill="0" applyAlignment="0" applyProtection="0"/>
    <xf numFmtId="169" fontId="49" fillId="0" borderId="35" applyNumberFormat="0" applyFill="0" applyAlignment="0" applyProtection="0"/>
    <xf numFmtId="168" fontId="49" fillId="0" borderId="35" applyNumberFormat="0" applyFill="0" applyAlignment="0" applyProtection="0"/>
    <xf numFmtId="168" fontId="49" fillId="0" borderId="35" applyNumberFormat="0" applyFill="0" applyAlignment="0" applyProtection="0"/>
    <xf numFmtId="169" fontId="49" fillId="0" borderId="35" applyNumberFormat="0" applyFill="0" applyAlignment="0" applyProtection="0"/>
    <xf numFmtId="168" fontId="49" fillId="0" borderId="35" applyNumberFormat="0" applyFill="0" applyAlignment="0" applyProtection="0"/>
    <xf numFmtId="0" fontId="49" fillId="0" borderId="35" applyNumberFormat="0" applyFill="0" applyAlignment="0" applyProtection="0"/>
    <xf numFmtId="0" fontId="49" fillId="0" borderId="0" applyNumberFormat="0" applyFill="0" applyBorder="0" applyAlignment="0" applyProtection="0"/>
    <xf numFmtId="169" fontId="49" fillId="0" borderId="0" applyNumberFormat="0" applyFill="0" applyBorder="0" applyAlignment="0" applyProtection="0"/>
    <xf numFmtId="0"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9" fillId="0" borderId="0" applyNumberFormat="0" applyFill="0" applyBorder="0" applyAlignment="0" applyProtection="0"/>
    <xf numFmtId="37" fontId="50" fillId="0" borderId="0"/>
    <xf numFmtId="168" fontId="51" fillId="0" borderId="0"/>
    <xf numFmtId="0" fontId="51" fillId="0" borderId="0"/>
    <xf numFmtId="168" fontId="51" fillId="0" borderId="0"/>
    <xf numFmtId="168" fontId="46" fillId="0" borderId="0"/>
    <xf numFmtId="0" fontId="46" fillId="0" borderId="0"/>
    <xf numFmtId="168" fontId="46" fillId="0" borderId="0"/>
    <xf numFmtId="168" fontId="52" fillId="0" borderId="0"/>
    <xf numFmtId="0" fontId="52" fillId="0" borderId="0"/>
    <xf numFmtId="168" fontId="52" fillId="0" borderId="0"/>
    <xf numFmtId="168" fontId="53" fillId="0" borderId="0"/>
    <xf numFmtId="0" fontId="53" fillId="0" borderId="0"/>
    <xf numFmtId="168" fontId="53" fillId="0" borderId="0"/>
    <xf numFmtId="168" fontId="54" fillId="0" borderId="0"/>
    <xf numFmtId="0" fontId="54" fillId="0" borderId="0"/>
    <xf numFmtId="168" fontId="54" fillId="0" borderId="0"/>
    <xf numFmtId="168" fontId="55" fillId="0" borderId="0"/>
    <xf numFmtId="0" fontId="55" fillId="0" borderId="0"/>
    <xf numFmtId="168" fontId="55" fillId="0" borderId="0"/>
    <xf numFmtId="0" fontId="54"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56" fillId="0" borderId="0" applyNumberFormat="0" applyFill="0" applyBorder="0" applyAlignment="0" applyProtection="0">
      <alignment vertical="top"/>
      <protection locked="0"/>
    </xf>
    <xf numFmtId="169" fontId="56" fillId="0" borderId="0" applyNumberFormat="0" applyFill="0" applyBorder="0" applyAlignment="0" applyProtection="0">
      <alignment vertical="top"/>
      <protection locked="0"/>
    </xf>
    <xf numFmtId="168" fontId="56" fillId="0" borderId="0" applyNumberFormat="0" applyFill="0" applyBorder="0" applyAlignment="0" applyProtection="0">
      <alignment vertical="top"/>
      <protection locked="0"/>
    </xf>
    <xf numFmtId="168" fontId="57" fillId="0" borderId="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168" fontId="60"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168" fontId="60"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169" fontId="60"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9" fillId="7" borderId="24"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0" fontId="58" fillId="42" borderId="30" applyNumberFormat="0" applyAlignment="0" applyProtection="0"/>
    <xf numFmtId="168" fontId="60" fillId="42" borderId="30" applyNumberFormat="0" applyAlignment="0" applyProtection="0"/>
    <xf numFmtId="169" fontId="60" fillId="42" borderId="30" applyNumberFormat="0" applyAlignment="0" applyProtection="0"/>
    <xf numFmtId="168" fontId="60" fillId="42" borderId="30" applyNumberFormat="0" applyAlignment="0" applyProtection="0"/>
    <xf numFmtId="168" fontId="60" fillId="42" borderId="30" applyNumberFormat="0" applyAlignment="0" applyProtection="0"/>
    <xf numFmtId="169" fontId="60" fillId="42" borderId="30" applyNumberFormat="0" applyAlignment="0" applyProtection="0"/>
    <xf numFmtId="168" fontId="60" fillId="42" borderId="30" applyNumberFormat="0" applyAlignment="0" applyProtection="0"/>
    <xf numFmtId="168" fontId="60" fillId="42" borderId="30" applyNumberFormat="0" applyAlignment="0" applyProtection="0"/>
    <xf numFmtId="169" fontId="60" fillId="42" borderId="30" applyNumberFormat="0" applyAlignment="0" applyProtection="0"/>
    <xf numFmtId="168" fontId="60" fillId="42" borderId="30" applyNumberFormat="0" applyAlignment="0" applyProtection="0"/>
    <xf numFmtId="168" fontId="60" fillId="42" borderId="30" applyNumberFormat="0" applyAlignment="0" applyProtection="0"/>
    <xf numFmtId="169" fontId="60" fillId="42" borderId="30" applyNumberFormat="0" applyAlignment="0" applyProtection="0"/>
    <xf numFmtId="168" fontId="60" fillId="42" borderId="30" applyNumberFormat="0" applyAlignment="0" applyProtection="0"/>
    <xf numFmtId="0" fontId="58" fillId="42" borderId="30" applyNumberFormat="0" applyAlignment="0" applyProtection="0"/>
    <xf numFmtId="3" fontId="2" fillId="71" borderId="3" applyFont="0">
      <alignment horizontal="right" vertical="center"/>
      <protection locked="0"/>
    </xf>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0" fontId="61" fillId="0" borderId="36" applyNumberFormat="0" applyFill="0" applyAlignment="0" applyProtection="0"/>
    <xf numFmtId="0" fontId="62" fillId="0" borderId="26" applyNumberFormat="0" applyFill="0" applyAlignment="0" applyProtection="0"/>
    <xf numFmtId="168" fontId="63" fillId="0" borderId="36" applyNumberFormat="0" applyFill="0" applyAlignment="0" applyProtection="0"/>
    <xf numFmtId="168" fontId="63" fillId="0" borderId="36" applyNumberFormat="0" applyFill="0" applyAlignment="0" applyProtection="0"/>
    <xf numFmtId="169" fontId="63" fillId="0" borderId="36" applyNumberFormat="0" applyFill="0" applyAlignment="0" applyProtection="0"/>
    <xf numFmtId="0" fontId="61" fillId="0" borderId="3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0" fontId="62" fillId="0" borderId="26" applyNumberFormat="0" applyFill="0" applyAlignment="0" applyProtection="0"/>
    <xf numFmtId="168" fontId="63" fillId="0" borderId="36" applyNumberFormat="0" applyFill="0" applyAlignment="0" applyProtection="0"/>
    <xf numFmtId="169" fontId="63" fillId="0" borderId="36" applyNumberFormat="0" applyFill="0" applyAlignment="0" applyProtection="0"/>
    <xf numFmtId="168" fontId="63" fillId="0" borderId="36" applyNumberFormat="0" applyFill="0" applyAlignment="0" applyProtection="0"/>
    <xf numFmtId="168" fontId="63" fillId="0" borderId="36" applyNumberFormat="0" applyFill="0" applyAlignment="0" applyProtection="0"/>
    <xf numFmtId="169" fontId="63" fillId="0" borderId="36" applyNumberFormat="0" applyFill="0" applyAlignment="0" applyProtection="0"/>
    <xf numFmtId="168" fontId="63" fillId="0" borderId="36" applyNumberFormat="0" applyFill="0" applyAlignment="0" applyProtection="0"/>
    <xf numFmtId="168" fontId="63" fillId="0" borderId="36" applyNumberFormat="0" applyFill="0" applyAlignment="0" applyProtection="0"/>
    <xf numFmtId="169" fontId="63" fillId="0" borderId="36" applyNumberFormat="0" applyFill="0" applyAlignment="0" applyProtection="0"/>
    <xf numFmtId="168" fontId="63" fillId="0" borderId="36" applyNumberFormat="0" applyFill="0" applyAlignment="0" applyProtection="0"/>
    <xf numFmtId="168" fontId="63" fillId="0" borderId="36" applyNumberFormat="0" applyFill="0" applyAlignment="0" applyProtection="0"/>
    <xf numFmtId="169" fontId="63" fillId="0" borderId="36" applyNumberFormat="0" applyFill="0" applyAlignment="0" applyProtection="0"/>
    <xf numFmtId="168" fontId="63" fillId="0" borderId="36" applyNumberFormat="0" applyFill="0" applyAlignment="0" applyProtection="0"/>
    <xf numFmtId="0" fontId="61" fillId="0" borderId="36"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64" fillId="72"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0" fontId="64" fillId="72"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168" fontId="66" fillId="72" borderId="0" applyNumberFormat="0" applyBorder="0" applyAlignment="0" applyProtection="0"/>
    <xf numFmtId="169" fontId="66" fillId="72" borderId="0" applyNumberFormat="0" applyBorder="0" applyAlignment="0" applyProtection="0"/>
    <xf numFmtId="168" fontId="66" fillId="72" borderId="0" applyNumberFormat="0" applyBorder="0" applyAlignment="0" applyProtection="0"/>
    <xf numFmtId="0" fontId="64" fillId="72" borderId="0" applyNumberFormat="0" applyBorder="0" applyAlignment="0" applyProtection="0"/>
    <xf numFmtId="1" fontId="67" fillId="0" borderId="0" applyProtection="0"/>
    <xf numFmtId="168" fontId="18" fillId="0" borderId="37"/>
    <xf numFmtId="169" fontId="18" fillId="0" borderId="37"/>
    <xf numFmtId="168" fontId="18" fillId="0" borderId="37"/>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68" fillId="0" borderId="0"/>
    <xf numFmtId="181" fontId="2"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9" fillId="0" borderId="0"/>
    <xf numFmtId="0" fontId="69" fillId="0" borderId="0"/>
    <xf numFmtId="0" fontId="68" fillId="0" borderId="0"/>
    <xf numFmtId="179" fontId="20" fillId="0" borderId="0"/>
    <xf numFmtId="179" fontId="2" fillId="0" borderId="0"/>
    <xf numFmtId="179" fontId="2" fillId="0" borderId="0"/>
    <xf numFmtId="0" fontId="2" fillId="0" borderId="0"/>
    <xf numFmtId="0" fontId="2"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0"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0" fillId="0" borderId="0"/>
    <xf numFmtId="0" fontId="20" fillId="0" borderId="0"/>
    <xf numFmtId="168" fontId="20" fillId="0" borderId="0"/>
    <xf numFmtId="0" fontId="2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68" fontId="20" fillId="0" borderId="0"/>
    <xf numFmtId="0" fontId="20" fillId="0" borderId="0"/>
    <xf numFmtId="0" fontId="20" fillId="0" borderId="0"/>
    <xf numFmtId="0" fontId="2"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9" fillId="0" borderId="0"/>
    <xf numFmtId="179" fontId="20" fillId="0" borderId="0"/>
    <xf numFmtId="179" fontId="2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0" fillId="0" borderId="0"/>
    <xf numFmtId="179" fontId="20" fillId="0" borderId="0"/>
    <xf numFmtId="179" fontId="20" fillId="0" borderId="0"/>
    <xf numFmtId="179" fontId="20" fillId="0" borderId="0"/>
    <xf numFmtId="179"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0" fillId="0" borderId="0"/>
    <xf numFmtId="179" fontId="2"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7" fillId="0" borderId="0"/>
    <xf numFmtId="0" fontId="20" fillId="0" borderId="0"/>
    <xf numFmtId="0" fontId="2" fillId="0" borderId="0"/>
    <xf numFmtId="0" fontId="19" fillId="0" borderId="0"/>
    <xf numFmtId="168" fontId="17" fillId="0" borderId="0"/>
    <xf numFmtId="0" fontId="2" fillId="0" borderId="0"/>
    <xf numFmtId="0" fontId="1" fillId="0" borderId="0"/>
    <xf numFmtId="0" fontId="1" fillId="0" borderId="0"/>
    <xf numFmtId="179"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179" fontId="2" fillId="0" borderId="0"/>
    <xf numFmtId="0" fontId="20" fillId="0" borderId="0"/>
    <xf numFmtId="0" fontId="20" fillId="0" borderId="0"/>
    <xf numFmtId="168" fontId="17" fillId="0" borderId="0"/>
    <xf numFmtId="0" fontId="57" fillId="0" borderId="0"/>
    <xf numFmtId="0" fontId="2" fillId="0" borderId="0"/>
    <xf numFmtId="168" fontId="17" fillId="0" borderId="0"/>
    <xf numFmtId="0" fontId="1" fillId="0" borderId="0"/>
    <xf numFmtId="179" fontId="20" fillId="0" borderId="0"/>
    <xf numFmtId="0" fontId="20" fillId="0" borderId="0"/>
    <xf numFmtId="0" fontId="20" fillId="0" borderId="0"/>
    <xf numFmtId="0" fontId="20" fillId="0" borderId="0"/>
    <xf numFmtId="0" fontId="20" fillId="0" borderId="0"/>
    <xf numFmtId="0" fontId="20" fillId="0" borderId="0"/>
    <xf numFmtId="0" fontId="20" fillId="0" borderId="0"/>
    <xf numFmtId="179"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179" fontId="2" fillId="0" borderId="0"/>
    <xf numFmtId="0" fontId="2" fillId="0" borderId="0"/>
    <xf numFmtId="179" fontId="2" fillId="0" borderId="0"/>
    <xf numFmtId="0" fontId="2" fillId="0" borderId="0"/>
    <xf numFmtId="179" fontId="2" fillId="0" borderId="0"/>
    <xf numFmtId="0" fontId="2"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0" borderId="0"/>
    <xf numFmtId="0" fontId="2" fillId="0" borderId="0"/>
    <xf numFmtId="0" fontId="20" fillId="0" borderId="0"/>
    <xf numFmtId="168" fontId="17" fillId="0" borderId="0"/>
    <xf numFmtId="168" fontId="17" fillId="0" borderId="0"/>
    <xf numFmtId="0" fontId="1" fillId="0" borderId="0"/>
    <xf numFmtId="179" fontId="20" fillId="0" borderId="0"/>
    <xf numFmtId="179" fontId="20" fillId="0" borderId="0"/>
    <xf numFmtId="0" fontId="5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0" fillId="0" borderId="0"/>
    <xf numFmtId="179" fontId="20"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8" fillId="0" borderId="0"/>
    <xf numFmtId="179" fontId="20"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79" fontId="2"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8"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0" fontId="6" fillId="0" borderId="0"/>
    <xf numFmtId="0" fontId="2" fillId="0" borderId="0"/>
    <xf numFmtId="179" fontId="18" fillId="0" borderId="0"/>
    <xf numFmtId="0" fontId="6"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179" fontId="6" fillId="0" borderId="0"/>
    <xf numFmtId="0" fontId="18" fillId="0" borderId="0"/>
    <xf numFmtId="179" fontId="18" fillId="0" borderId="0"/>
    <xf numFmtId="0" fontId="18" fillId="0" borderId="0"/>
    <xf numFmtId="0" fontId="2" fillId="0" borderId="0"/>
    <xf numFmtId="0" fontId="1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18" fillId="0" borderId="0"/>
    <xf numFmtId="179" fontId="6"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18" fillId="0" borderId="0"/>
    <xf numFmtId="179" fontId="6"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8" fillId="0" borderId="0"/>
    <xf numFmtId="0" fontId="18" fillId="0" borderId="0"/>
    <xf numFmtId="168" fontId="18" fillId="0" borderId="0"/>
    <xf numFmtId="0" fontId="68" fillId="0" borderId="0"/>
    <xf numFmtId="168"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68" fillId="0" borderId="0"/>
    <xf numFmtId="0" fontId="6" fillId="0" borderId="0"/>
    <xf numFmtId="0" fontId="68" fillId="0" borderId="0"/>
    <xf numFmtId="168" fontId="6" fillId="0" borderId="0"/>
    <xf numFmtId="0" fontId="68" fillId="0" borderId="0"/>
    <xf numFmtId="168" fontId="6"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179" fontId="6"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179" fontId="1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179" fontId="6" fillId="0" borderId="0"/>
    <xf numFmtId="179" fontId="6" fillId="0" borderId="0"/>
    <xf numFmtId="179" fontId="6" fillId="0" borderId="0"/>
    <xf numFmtId="179" fontId="6" fillId="0" borderId="0"/>
    <xf numFmtId="179" fontId="6" fillId="0" borderId="0"/>
    <xf numFmtId="0" fontId="1" fillId="0" borderId="0"/>
    <xf numFmtId="179" fontId="18"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8" fillId="0" borderId="0"/>
    <xf numFmtId="179" fontId="18" fillId="0" borderId="0"/>
    <xf numFmtId="179" fontId="18" fillId="0" borderId="0"/>
    <xf numFmtId="17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6" fillId="0" borderId="0"/>
    <xf numFmtId="0" fontId="2" fillId="0" borderId="0"/>
    <xf numFmtId="0" fontId="68" fillId="0" borderId="0"/>
    <xf numFmtId="168" fontId="3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68" fillId="0" borderId="0"/>
    <xf numFmtId="0" fontId="2" fillId="0" borderId="0"/>
    <xf numFmtId="0" fontId="6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79" fontId="2" fillId="0" borderId="0"/>
    <xf numFmtId="0" fontId="68"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169" fontId="2"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1" fillId="0" borderId="0"/>
    <xf numFmtId="168" fontId="2" fillId="0" borderId="0"/>
    <xf numFmtId="0" fontId="68"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0" fontId="68" fillId="0" borderId="0"/>
    <xf numFmtId="168" fontId="2" fillId="0" borderId="0"/>
    <xf numFmtId="0" fontId="68" fillId="0" borderId="0"/>
    <xf numFmtId="0" fontId="68" fillId="0" borderId="0"/>
    <xf numFmtId="0" fontId="68" fillId="0" borderId="0"/>
    <xf numFmtId="0" fontId="68" fillId="0" borderId="0"/>
    <xf numFmtId="0" fontId="6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2" fillId="0" borderId="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168" fontId="2" fillId="0" borderId="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 fillId="73" borderId="38" applyNumberFormat="0" applyFont="0" applyAlignment="0" applyProtection="0"/>
    <xf numFmtId="0" fontId="19" fillId="73" borderId="38" applyNumberFormat="0" applyFont="0" applyAlignment="0" applyProtection="0"/>
    <xf numFmtId="168" fontId="2" fillId="0" borderId="0"/>
    <xf numFmtId="0" fontId="19" fillId="73" borderId="38" applyNumberFormat="0" applyFont="0" applyAlignment="0" applyProtection="0"/>
    <xf numFmtId="0" fontId="19"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19" fillId="73" borderId="38" applyNumberFormat="0" applyFont="0" applyAlignment="0" applyProtection="0"/>
    <xf numFmtId="0" fontId="2"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169" fontId="2" fillId="0" borderId="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 fillId="73" borderId="38" applyNumberFormat="0" applyFont="0" applyAlignment="0" applyProtection="0"/>
    <xf numFmtId="0" fontId="2" fillId="0" borderId="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0" fillId="10" borderId="2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19"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168" fontId="2" fillId="0" borderId="0"/>
    <xf numFmtId="0" fontId="2" fillId="73" borderId="38" applyNumberFormat="0" applyFont="0" applyAlignment="0" applyProtection="0"/>
    <xf numFmtId="0" fontId="2" fillId="73" borderId="38" applyNumberFormat="0" applyFont="0" applyAlignment="0" applyProtection="0"/>
    <xf numFmtId="169" fontId="2" fillId="0" borderId="0"/>
    <xf numFmtId="168" fontId="2" fillId="0" borderId="0"/>
    <xf numFmtId="168" fontId="2" fillId="0" borderId="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0" fontId="2" fillId="73" borderId="38"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73"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74" fillId="0" borderId="0"/>
    <xf numFmtId="0" fontId="74" fillId="0" borderId="0"/>
    <xf numFmtId="168" fontId="74" fillId="0" borderId="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168" fontId="77"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168" fontId="77"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169" fontId="77"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6" fillId="8" borderId="25"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0" fontId="75" fillId="63" borderId="39" applyNumberFormat="0" applyAlignment="0" applyProtection="0"/>
    <xf numFmtId="168" fontId="77" fillId="63" borderId="39" applyNumberFormat="0" applyAlignment="0" applyProtection="0"/>
    <xf numFmtId="169" fontId="77" fillId="63" borderId="39" applyNumberFormat="0" applyAlignment="0" applyProtection="0"/>
    <xf numFmtId="168" fontId="77" fillId="63" borderId="39" applyNumberFormat="0" applyAlignment="0" applyProtection="0"/>
    <xf numFmtId="168" fontId="77" fillId="63" borderId="39" applyNumberFormat="0" applyAlignment="0" applyProtection="0"/>
    <xf numFmtId="169" fontId="77" fillId="63" borderId="39" applyNumberFormat="0" applyAlignment="0" applyProtection="0"/>
    <xf numFmtId="168" fontId="77" fillId="63" borderId="39" applyNumberFormat="0" applyAlignment="0" applyProtection="0"/>
    <xf numFmtId="168" fontId="77" fillId="63" borderId="39" applyNumberFormat="0" applyAlignment="0" applyProtection="0"/>
    <xf numFmtId="169" fontId="77" fillId="63" borderId="39" applyNumberFormat="0" applyAlignment="0" applyProtection="0"/>
    <xf numFmtId="168" fontId="77" fillId="63" borderId="39" applyNumberFormat="0" applyAlignment="0" applyProtection="0"/>
    <xf numFmtId="168" fontId="77" fillId="63" borderId="39" applyNumberFormat="0" applyAlignment="0" applyProtection="0"/>
    <xf numFmtId="169" fontId="77" fillId="63" borderId="39" applyNumberFormat="0" applyAlignment="0" applyProtection="0"/>
    <xf numFmtId="168" fontId="77" fillId="63" borderId="39" applyNumberFormat="0" applyAlignment="0" applyProtection="0"/>
    <xf numFmtId="0" fontId="75" fillId="63" borderId="39" applyNumberFormat="0" applyAlignment="0" applyProtection="0"/>
    <xf numFmtId="0" fontId="17" fillId="0" borderId="0"/>
    <xf numFmtId="175" fontId="29" fillId="0" borderId="0" applyFont="0" applyFill="0" applyBorder="0" applyAlignment="0" applyProtection="0"/>
    <xf numFmtId="186"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78"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9" fillId="0" borderId="0" applyFill="0" applyBorder="0" applyAlignment="0"/>
    <xf numFmtId="172" fontId="29" fillId="0" borderId="0" applyFill="0" applyBorder="0" applyAlignment="0"/>
    <xf numFmtId="171" fontId="29" fillId="0" borderId="0" applyFill="0" applyBorder="0" applyAlignment="0"/>
    <xf numFmtId="176" fontId="29" fillId="0" borderId="0" applyFill="0" applyBorder="0" applyAlignment="0"/>
    <xf numFmtId="172" fontId="29" fillId="0" borderId="0" applyFill="0" applyBorder="0" applyAlignment="0"/>
    <xf numFmtId="168" fontId="2" fillId="0" borderId="0"/>
    <xf numFmtId="0" fontId="2" fillId="0" borderId="0"/>
    <xf numFmtId="168" fontId="2" fillId="0" borderId="0"/>
    <xf numFmtId="187" fontId="57" fillId="0" borderId="3" applyNumberFormat="0">
      <alignment horizontal="center" vertical="top" wrapText="1"/>
    </xf>
    <xf numFmtId="0" fontId="79"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0" fillId="0" borderId="0"/>
    <xf numFmtId="0" fontId="17" fillId="0" borderId="0"/>
    <xf numFmtId="0" fontId="81" fillId="0" borderId="0"/>
    <xf numFmtId="0" fontId="81" fillId="0" borderId="0"/>
    <xf numFmtId="168" fontId="17" fillId="0" borderId="0"/>
    <xf numFmtId="168" fontId="17" fillId="0" borderId="0"/>
    <xf numFmtId="0" fontId="82" fillId="0" borderId="0"/>
    <xf numFmtId="0" fontId="83" fillId="0" borderId="0"/>
    <xf numFmtId="0" fontId="82" fillId="0" borderId="0"/>
    <xf numFmtId="0" fontId="82" fillId="0" borderId="0"/>
    <xf numFmtId="0" fontId="82" fillId="0" borderId="0"/>
    <xf numFmtId="0" fontId="82" fillId="0" borderId="0"/>
    <xf numFmtId="0" fontId="82" fillId="0" borderId="0"/>
    <xf numFmtId="49" fontId="38" fillId="0" borderId="0" applyFill="0" applyBorder="0" applyAlignment="0"/>
    <xf numFmtId="189" fontId="29" fillId="0" borderId="0" applyFill="0" applyBorder="0" applyAlignment="0"/>
    <xf numFmtId="190" fontId="29" fillId="0" borderId="0" applyFill="0" applyBorder="0" applyAlignment="0"/>
    <xf numFmtId="0" fontId="84" fillId="0" borderId="0">
      <alignment horizontal="center" vertical="top"/>
    </xf>
    <xf numFmtId="0" fontId="85" fillId="0" borderId="0" applyNumberFormat="0" applyFill="0" applyBorder="0" applyAlignment="0" applyProtection="0"/>
    <xf numFmtId="169" fontId="85" fillId="0" borderId="0" applyNumberFormat="0" applyFill="0" applyBorder="0" applyAlignment="0" applyProtection="0"/>
    <xf numFmtId="0"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168" fontId="85" fillId="0" borderId="0" applyNumberFormat="0" applyFill="0" applyBorder="0" applyAlignment="0" applyProtection="0"/>
    <xf numFmtId="169" fontId="85" fillId="0" borderId="0" applyNumberFormat="0" applyFill="0" applyBorder="0" applyAlignment="0" applyProtection="0"/>
    <xf numFmtId="168" fontId="85" fillId="0" borderId="0" applyNumberFormat="0" applyFill="0" applyBorder="0" applyAlignment="0" applyProtection="0"/>
    <xf numFmtId="0" fontId="85" fillId="0" borderId="0" applyNumberFormat="0" applyFill="0" applyBorder="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168" fontId="86"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168" fontId="86"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169" fontId="86"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4" fillId="0" borderId="29"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0" fontId="39" fillId="0" borderId="40" applyNumberFormat="0" applyFill="0" applyAlignment="0" applyProtection="0"/>
    <xf numFmtId="168" fontId="86" fillId="0" borderId="40" applyNumberFormat="0" applyFill="0" applyAlignment="0" applyProtection="0"/>
    <xf numFmtId="169" fontId="86" fillId="0" borderId="40" applyNumberFormat="0" applyFill="0" applyAlignment="0" applyProtection="0"/>
    <xf numFmtId="168" fontId="86" fillId="0" borderId="40" applyNumberFormat="0" applyFill="0" applyAlignment="0" applyProtection="0"/>
    <xf numFmtId="168" fontId="86" fillId="0" borderId="40" applyNumberFormat="0" applyFill="0" applyAlignment="0" applyProtection="0"/>
    <xf numFmtId="169" fontId="86" fillId="0" borderId="40" applyNumberFormat="0" applyFill="0" applyAlignment="0" applyProtection="0"/>
    <xf numFmtId="168" fontId="86" fillId="0" borderId="40" applyNumberFormat="0" applyFill="0" applyAlignment="0" applyProtection="0"/>
    <xf numFmtId="168" fontId="86" fillId="0" borderId="40" applyNumberFormat="0" applyFill="0" applyAlignment="0" applyProtection="0"/>
    <xf numFmtId="169" fontId="86" fillId="0" borderId="40" applyNumberFormat="0" applyFill="0" applyAlignment="0" applyProtection="0"/>
    <xf numFmtId="168" fontId="86" fillId="0" borderId="40" applyNumberFormat="0" applyFill="0" applyAlignment="0" applyProtection="0"/>
    <xf numFmtId="168" fontId="86" fillId="0" borderId="40" applyNumberFormat="0" applyFill="0" applyAlignment="0" applyProtection="0"/>
    <xf numFmtId="169" fontId="86" fillId="0" borderId="40" applyNumberFormat="0" applyFill="0" applyAlignment="0" applyProtection="0"/>
    <xf numFmtId="168" fontId="86" fillId="0" borderId="40" applyNumberFormat="0" applyFill="0" applyAlignment="0" applyProtection="0"/>
    <xf numFmtId="0" fontId="39" fillId="0" borderId="40" applyNumberFormat="0" applyFill="0" applyAlignment="0" applyProtection="0"/>
    <xf numFmtId="0" fontId="17" fillId="0" borderId="41"/>
    <xf numFmtId="185" fontId="7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18" fillId="0" borderId="0" applyFont="0" applyFill="0" applyBorder="0" applyAlignment="0" applyProtection="0"/>
    <xf numFmtId="192" fontId="2" fillId="0" borderId="0" applyFon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0" fontId="87"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168" fontId="88" fillId="0" borderId="0" applyNumberFormat="0" applyFill="0" applyBorder="0" applyAlignment="0" applyProtection="0"/>
    <xf numFmtId="169" fontId="88" fillId="0" borderId="0" applyNumberFormat="0" applyFill="0" applyBorder="0" applyAlignment="0" applyProtection="0"/>
    <xf numFmtId="168" fontId="88" fillId="0" borderId="0" applyNumberFormat="0" applyFill="0" applyBorder="0" applyAlignment="0" applyProtection="0"/>
    <xf numFmtId="0" fontId="87" fillId="0" borderId="0" applyNumberFormat="0" applyFill="0" applyBorder="0" applyAlignment="0" applyProtection="0"/>
    <xf numFmtId="1" fontId="89" fillId="0" borderId="0" applyFill="0" applyProtection="0">
      <alignment horizontal="right"/>
    </xf>
    <xf numFmtId="42" fontId="90" fillId="0" borderId="0" applyFont="0" applyFill="0" applyBorder="0" applyAlignment="0" applyProtection="0"/>
    <xf numFmtId="44" fontId="90" fillId="0" borderId="0" applyFont="0" applyFill="0" applyBorder="0" applyAlignment="0" applyProtection="0"/>
    <xf numFmtId="0" fontId="91" fillId="0" borderId="0"/>
    <xf numFmtId="0" fontId="92" fillId="0" borderId="0"/>
    <xf numFmtId="38" fontId="18" fillId="0" borderId="0" applyFont="0" applyFill="0" applyBorder="0" applyAlignment="0" applyProtection="0"/>
    <xf numFmtId="40" fontId="18" fillId="0" borderId="0" applyFont="0" applyFill="0" applyBorder="0" applyAlignment="0" applyProtection="0"/>
    <xf numFmtId="41" fontId="90" fillId="0" borderId="0" applyFont="0" applyFill="0" applyBorder="0" applyAlignment="0" applyProtection="0"/>
    <xf numFmtId="43" fontId="90" fillId="0" borderId="0" applyFont="0" applyFill="0" applyBorder="0" applyAlignment="0" applyProtection="0"/>
    <xf numFmtId="0" fontId="2" fillId="0" borderId="0"/>
    <xf numFmtId="9" fontId="1" fillId="0" borderId="0" applyFont="0" applyFill="0" applyBorder="0" applyAlignment="0" applyProtection="0"/>
    <xf numFmtId="0" fontId="39" fillId="0" borderId="91" applyNumberFormat="0" applyFill="0" applyAlignment="0" applyProtection="0"/>
    <xf numFmtId="168" fontId="86" fillId="0" borderId="91" applyNumberFormat="0" applyFill="0" applyAlignment="0" applyProtection="0"/>
    <xf numFmtId="169" fontId="86" fillId="0" borderId="91" applyNumberFormat="0" applyFill="0" applyAlignment="0" applyProtection="0"/>
    <xf numFmtId="168" fontId="86" fillId="0" borderId="91" applyNumberFormat="0" applyFill="0" applyAlignment="0" applyProtection="0"/>
    <xf numFmtId="168" fontId="86" fillId="0" borderId="91" applyNumberFormat="0" applyFill="0" applyAlignment="0" applyProtection="0"/>
    <xf numFmtId="169" fontId="86" fillId="0" borderId="91" applyNumberFormat="0" applyFill="0" applyAlignment="0" applyProtection="0"/>
    <xf numFmtId="168" fontId="86" fillId="0" borderId="91" applyNumberFormat="0" applyFill="0" applyAlignment="0" applyProtection="0"/>
    <xf numFmtId="168" fontId="86" fillId="0" borderId="91" applyNumberFormat="0" applyFill="0" applyAlignment="0" applyProtection="0"/>
    <xf numFmtId="169" fontId="86" fillId="0" borderId="91" applyNumberFormat="0" applyFill="0" applyAlignment="0" applyProtection="0"/>
    <xf numFmtId="168" fontId="86" fillId="0" borderId="91" applyNumberFormat="0" applyFill="0" applyAlignment="0" applyProtection="0"/>
    <xf numFmtId="168" fontId="86" fillId="0" borderId="91" applyNumberFormat="0" applyFill="0" applyAlignment="0" applyProtection="0"/>
    <xf numFmtId="169" fontId="86" fillId="0" borderId="91" applyNumberFormat="0" applyFill="0" applyAlignment="0" applyProtection="0"/>
    <xf numFmtId="168" fontId="86"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169" fontId="86"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168" fontId="86"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168" fontId="86"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0" fontId="39" fillId="0" borderId="91" applyNumberFormat="0" applyFill="0" applyAlignment="0" applyProtection="0"/>
    <xf numFmtId="188" fontId="2" fillId="69" borderId="85" applyFont="0">
      <alignment horizontal="right" vertical="center"/>
    </xf>
    <xf numFmtId="3" fontId="2" fillId="69" borderId="85" applyFont="0">
      <alignment horizontal="right" vertical="center"/>
    </xf>
    <xf numFmtId="0" fontId="75" fillId="63" borderId="90" applyNumberFormat="0" applyAlignment="0" applyProtection="0"/>
    <xf numFmtId="168" fontId="77" fillId="63" borderId="90" applyNumberFormat="0" applyAlignment="0" applyProtection="0"/>
    <xf numFmtId="169" fontId="77" fillId="63" borderId="90" applyNumberFormat="0" applyAlignment="0" applyProtection="0"/>
    <xf numFmtId="168" fontId="77" fillId="63" borderId="90" applyNumberFormat="0" applyAlignment="0" applyProtection="0"/>
    <xf numFmtId="168" fontId="77" fillId="63" borderId="90" applyNumberFormat="0" applyAlignment="0" applyProtection="0"/>
    <xf numFmtId="169" fontId="77" fillId="63" borderId="90" applyNumberFormat="0" applyAlignment="0" applyProtection="0"/>
    <xf numFmtId="168" fontId="77" fillId="63" borderId="90" applyNumberFormat="0" applyAlignment="0" applyProtection="0"/>
    <xf numFmtId="168" fontId="77" fillId="63" borderId="90" applyNumberFormat="0" applyAlignment="0" applyProtection="0"/>
    <xf numFmtId="169" fontId="77" fillId="63" borderId="90" applyNumberFormat="0" applyAlignment="0" applyProtection="0"/>
    <xf numFmtId="168" fontId="77" fillId="63" borderId="90" applyNumberFormat="0" applyAlignment="0" applyProtection="0"/>
    <xf numFmtId="168" fontId="77" fillId="63" borderId="90" applyNumberFormat="0" applyAlignment="0" applyProtection="0"/>
    <xf numFmtId="169" fontId="77" fillId="63" borderId="90" applyNumberFormat="0" applyAlignment="0" applyProtection="0"/>
    <xf numFmtId="168" fontId="77"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169" fontId="77"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168" fontId="77"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168" fontId="77"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0" fontId="75" fillId="63" borderId="90" applyNumberFormat="0" applyAlignment="0" applyProtection="0"/>
    <xf numFmtId="3" fontId="2" fillId="74" borderId="85" applyFont="0">
      <alignment horizontal="right" vertical="center"/>
      <protection locked="0"/>
    </xf>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2"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2" fillId="73" borderId="89" applyNumberFormat="0" applyFont="0" applyAlignment="0" applyProtection="0"/>
    <xf numFmtId="0" fontId="19" fillId="73" borderId="89" applyNumberFormat="0" applyFont="0" applyAlignment="0" applyProtection="0"/>
    <xf numFmtId="0" fontId="2" fillId="73" borderId="89" applyNumberFormat="0" applyFont="0" applyAlignment="0" applyProtection="0"/>
    <xf numFmtId="0" fontId="2"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2"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0" fontId="19" fillId="73" borderId="89" applyNumberFormat="0" applyFont="0" applyAlignment="0" applyProtection="0"/>
    <xf numFmtId="3" fontId="2" fillId="71" borderId="85" applyFont="0">
      <alignment horizontal="right" vertical="center"/>
      <protection locked="0"/>
    </xf>
    <xf numFmtId="0" fontId="58" fillId="42" borderId="88" applyNumberFormat="0" applyAlignment="0" applyProtection="0"/>
    <xf numFmtId="168" fontId="60" fillId="42" borderId="88" applyNumberFormat="0" applyAlignment="0" applyProtection="0"/>
    <xf numFmtId="169" fontId="60" fillId="42" borderId="88" applyNumberFormat="0" applyAlignment="0" applyProtection="0"/>
    <xf numFmtId="168" fontId="60" fillId="42" borderId="88" applyNumberFormat="0" applyAlignment="0" applyProtection="0"/>
    <xf numFmtId="168" fontId="60" fillId="42" borderId="88" applyNumberFormat="0" applyAlignment="0" applyProtection="0"/>
    <xf numFmtId="169" fontId="60" fillId="42" borderId="88" applyNumberFormat="0" applyAlignment="0" applyProtection="0"/>
    <xf numFmtId="168" fontId="60" fillId="42" borderId="88" applyNumberFormat="0" applyAlignment="0" applyProtection="0"/>
    <xf numFmtId="168" fontId="60" fillId="42" borderId="88" applyNumberFormat="0" applyAlignment="0" applyProtection="0"/>
    <xf numFmtId="169" fontId="60" fillId="42" borderId="88" applyNumberFormat="0" applyAlignment="0" applyProtection="0"/>
    <xf numFmtId="168" fontId="60" fillId="42" borderId="88" applyNumberFormat="0" applyAlignment="0" applyProtection="0"/>
    <xf numFmtId="168" fontId="60" fillId="42" borderId="88" applyNumberFormat="0" applyAlignment="0" applyProtection="0"/>
    <xf numFmtId="169" fontId="60" fillId="42" borderId="88" applyNumberFormat="0" applyAlignment="0" applyProtection="0"/>
    <xf numFmtId="168" fontId="60"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169" fontId="60"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168" fontId="60"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168" fontId="60"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58" fillId="42" borderId="88" applyNumberFormat="0" applyAlignment="0" applyProtection="0"/>
    <xf numFmtId="0" fontId="2" fillId="70" borderId="86" applyNumberFormat="0" applyFont="0" applyBorder="0" applyProtection="0">
      <alignment horizontal="left" vertical="center"/>
    </xf>
    <xf numFmtId="9" fontId="2" fillId="70" borderId="85" applyFont="0" applyProtection="0">
      <alignment horizontal="right" vertical="center"/>
    </xf>
    <xf numFmtId="3" fontId="2" fillId="70" borderId="85" applyFont="0" applyProtection="0">
      <alignment horizontal="right" vertical="center"/>
    </xf>
    <xf numFmtId="0" fontId="54" fillId="69" borderId="86" applyFont="0" applyBorder="0">
      <alignment horizontal="center" wrapText="1"/>
    </xf>
    <xf numFmtId="168" fontId="46" fillId="0" borderId="83">
      <alignment horizontal="left" vertical="center"/>
    </xf>
    <xf numFmtId="0" fontId="46" fillId="0" borderId="83">
      <alignment horizontal="left" vertical="center"/>
    </xf>
    <xf numFmtId="0" fontId="46" fillId="0" borderId="83">
      <alignment horizontal="left" vertical="center"/>
    </xf>
    <xf numFmtId="0" fontId="2" fillId="68" borderId="85" applyNumberFormat="0" applyFont="0" applyBorder="0" applyProtection="0">
      <alignment horizontal="center" vertical="center"/>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28" fillId="0" borderId="85" applyNumberFormat="0" applyAlignment="0">
      <alignment horizontal="right"/>
      <protection locked="0"/>
    </xf>
    <xf numFmtId="0" fontId="30" fillId="63" borderId="88" applyNumberFormat="0" applyAlignment="0" applyProtection="0"/>
    <xf numFmtId="168" fontId="32" fillId="63" borderId="88" applyNumberFormat="0" applyAlignment="0" applyProtection="0"/>
    <xf numFmtId="169" fontId="32" fillId="63" borderId="88" applyNumberFormat="0" applyAlignment="0" applyProtection="0"/>
    <xf numFmtId="168" fontId="32" fillId="63" borderId="88" applyNumberFormat="0" applyAlignment="0" applyProtection="0"/>
    <xf numFmtId="168" fontId="32" fillId="63" borderId="88" applyNumberFormat="0" applyAlignment="0" applyProtection="0"/>
    <xf numFmtId="169" fontId="32" fillId="63" borderId="88" applyNumberFormat="0" applyAlignment="0" applyProtection="0"/>
    <xf numFmtId="168" fontId="32" fillId="63" borderId="88" applyNumberFormat="0" applyAlignment="0" applyProtection="0"/>
    <xf numFmtId="168" fontId="32" fillId="63" borderId="88" applyNumberFormat="0" applyAlignment="0" applyProtection="0"/>
    <xf numFmtId="169" fontId="32" fillId="63" borderId="88" applyNumberFormat="0" applyAlignment="0" applyProtection="0"/>
    <xf numFmtId="168" fontId="32" fillId="63" borderId="88" applyNumberFormat="0" applyAlignment="0" applyProtection="0"/>
    <xf numFmtId="168" fontId="32" fillId="63" borderId="88" applyNumberFormat="0" applyAlignment="0" applyProtection="0"/>
    <xf numFmtId="169" fontId="32" fillId="63" borderId="88" applyNumberFormat="0" applyAlignment="0" applyProtection="0"/>
    <xf numFmtId="168" fontId="32"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169" fontId="32"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168" fontId="32"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168" fontId="32"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30" fillId="63" borderId="88" applyNumberFormat="0" applyAlignment="0" applyProtection="0"/>
    <xf numFmtId="0" fontId="1" fillId="0" borderId="0"/>
    <xf numFmtId="169" fontId="18" fillId="36" borderId="0"/>
    <xf numFmtId="0" fontId="2" fillId="0" borderId="0">
      <alignment vertical="center"/>
    </xf>
    <xf numFmtId="164" fontId="1" fillId="0" borderId="0" applyFont="0" applyFill="0" applyBorder="0" applyAlignment="0" applyProtection="0"/>
    <xf numFmtId="0" fontId="111" fillId="0" borderId="0"/>
    <xf numFmtId="0" fontId="1" fillId="0" borderId="0"/>
    <xf numFmtId="0" fontId="1" fillId="0" borderId="0"/>
    <xf numFmtId="0" fontId="1" fillId="0" borderId="0"/>
    <xf numFmtId="9" fontId="1" fillId="0" borderId="0" applyFont="0" applyFill="0" applyBorder="0" applyAlignment="0" applyProtection="0"/>
  </cellStyleXfs>
  <cellXfs count="963">
    <xf numFmtId="0" fontId="0" fillId="0" borderId="0" xfId="0"/>
    <xf numFmtId="0" fontId="3" fillId="0" borderId="0" xfId="0" applyFont="1"/>
    <xf numFmtId="0" fontId="10" fillId="0" borderId="0" xfId="0" applyFont="1"/>
    <xf numFmtId="0" fontId="7" fillId="0" borderId="13" xfId="0" applyFont="1" applyBorder="1" applyAlignment="1">
      <alignment vertical="center"/>
    </xf>
    <xf numFmtId="0" fontId="7" fillId="0" borderId="0" xfId="11" applyFont="1"/>
    <xf numFmtId="0" fontId="7" fillId="0" borderId="0" xfId="0" applyFont="1"/>
    <xf numFmtId="0" fontId="7" fillId="0" borderId="0" xfId="0" applyFont="1" applyAlignment="1">
      <alignment horizontal="right"/>
    </xf>
    <xf numFmtId="0" fontId="10" fillId="0" borderId="0" xfId="0" applyFont="1" applyAlignment="1">
      <alignment wrapText="1"/>
    </xf>
    <xf numFmtId="0" fontId="15" fillId="0" borderId="0" xfId="0" applyFont="1" applyAlignment="1">
      <alignment horizontal="center" vertical="center"/>
    </xf>
    <xf numFmtId="0" fontId="15" fillId="0" borderId="0" xfId="0" applyFont="1" applyAlignment="1">
      <alignment vertical="center"/>
    </xf>
    <xf numFmtId="0" fontId="3" fillId="0" borderId="0" xfId="0" applyFont="1" applyAlignment="1">
      <alignment horizontal="center" vertical="center"/>
    </xf>
    <xf numFmtId="0" fontId="15" fillId="0" borderId="0" xfId="0" applyFont="1"/>
    <xf numFmtId="0" fontId="7" fillId="0" borderId="1" xfId="0" applyFont="1" applyBorder="1"/>
    <xf numFmtId="0" fontId="5" fillId="0" borderId="0" xfId="11" applyFont="1" applyAlignment="1">
      <alignment vertical="center"/>
    </xf>
    <xf numFmtId="0" fontId="7" fillId="2" borderId="16" xfId="0" applyFont="1" applyFill="1" applyBorder="1" applyAlignment="1">
      <alignment horizontal="right" vertical="center"/>
    </xf>
    <xf numFmtId="0" fontId="93" fillId="0" borderId="3" xfId="20960" applyFont="1" applyBorder="1" applyAlignment="1">
      <alignment horizontal="center" vertical="center"/>
    </xf>
    <xf numFmtId="0" fontId="12" fillId="0" borderId="0" xfId="0" applyFont="1" applyAlignment="1" applyProtection="1">
      <alignment horizontal="right"/>
      <protection locked="0"/>
    </xf>
    <xf numFmtId="0" fontId="8" fillId="0" borderId="1" xfId="0" applyFont="1" applyBorder="1" applyAlignment="1">
      <alignment horizontal="center"/>
    </xf>
    <xf numFmtId="0" fontId="96" fillId="0" borderId="0" xfId="0" applyFont="1"/>
    <xf numFmtId="49" fontId="96" fillId="0" borderId="5" xfId="0" applyNumberFormat="1" applyFont="1" applyBorder="1" applyAlignment="1">
      <alignment horizontal="right" vertical="center"/>
    </xf>
    <xf numFmtId="49" fontId="96" fillId="0" borderId="62" xfId="0" applyNumberFormat="1" applyFont="1" applyBorder="1" applyAlignment="1">
      <alignment horizontal="right" vertical="center"/>
    </xf>
    <xf numFmtId="49" fontId="96" fillId="0" borderId="65" xfId="0" applyNumberFormat="1" applyFont="1" applyBorder="1" applyAlignment="1">
      <alignment horizontal="right" vertical="center"/>
    </xf>
    <xf numFmtId="49" fontId="96" fillId="0" borderId="70" xfId="0" applyNumberFormat="1" applyFont="1" applyBorder="1" applyAlignment="1">
      <alignment horizontal="right" vertical="center"/>
    </xf>
    <xf numFmtId="0" fontId="96" fillId="0" borderId="0" xfId="0" applyFont="1" applyAlignment="1">
      <alignment horizontal="left"/>
    </xf>
    <xf numFmtId="0" fontId="96" fillId="0" borderId="70" xfId="0" applyFont="1" applyBorder="1" applyAlignment="1">
      <alignment horizontal="right" vertical="center"/>
    </xf>
    <xf numFmtId="49" fontId="96" fillId="0" borderId="0" xfId="0" applyNumberFormat="1" applyFont="1" applyAlignment="1">
      <alignment horizontal="right" vertical="center"/>
    </xf>
    <xf numFmtId="0" fontId="96" fillId="0" borderId="0" xfId="0" applyFont="1" applyAlignment="1">
      <alignment vertical="center" wrapText="1"/>
    </xf>
    <xf numFmtId="0" fontId="96" fillId="0" borderId="0" xfId="0" applyFont="1" applyAlignment="1">
      <alignment horizontal="left" vertical="center" wrapText="1"/>
    </xf>
    <xf numFmtId="193" fontId="7" fillId="2" borderId="17" xfId="0" applyNumberFormat="1" applyFont="1" applyFill="1" applyBorder="1" applyAlignment="1" applyProtection="1">
      <alignment vertical="center"/>
      <protection locked="0"/>
    </xf>
    <xf numFmtId="0" fontId="7" fillId="0" borderId="10" xfId="0" applyFont="1" applyBorder="1" applyAlignment="1">
      <alignment horizontal="right" vertical="center" wrapText="1"/>
    </xf>
    <xf numFmtId="0" fontId="96" fillId="0" borderId="72" xfId="0" applyFont="1" applyBorder="1" applyAlignment="1">
      <alignment horizontal="right" vertical="center"/>
    </xf>
    <xf numFmtId="0" fontId="3" fillId="0" borderId="0" xfId="0" applyFont="1" applyAlignment="1">
      <alignment horizontal="left" vertical="center"/>
    </xf>
    <xf numFmtId="0" fontId="98" fillId="0" borderId="0" xfId="0" applyFont="1" applyAlignment="1">
      <alignment horizontal="left" vertical="center"/>
    </xf>
    <xf numFmtId="0" fontId="93" fillId="0" borderId="85" xfId="20960" applyFont="1" applyBorder="1" applyAlignment="1">
      <alignment horizontal="center" vertical="center"/>
    </xf>
    <xf numFmtId="0" fontId="8" fillId="0" borderId="6" xfId="0" applyFont="1" applyBorder="1" applyAlignment="1">
      <alignment horizontal="center" vertical="center" wrapText="1"/>
    </xf>
    <xf numFmtId="0" fontId="7" fillId="0" borderId="102" xfId="0" applyFont="1" applyBorder="1" applyAlignment="1">
      <alignment horizontal="right" vertical="center" wrapText="1"/>
    </xf>
    <xf numFmtId="0" fontId="8" fillId="0" borderId="100" xfId="0" applyFont="1" applyBorder="1" applyAlignment="1">
      <alignment horizontal="center" vertical="center" wrapText="1"/>
    </xf>
    <xf numFmtId="0" fontId="7" fillId="0" borderId="102" xfId="0" applyFont="1" applyBorder="1" applyAlignment="1">
      <alignment horizontal="center" vertical="center" wrapText="1"/>
    </xf>
    <xf numFmtId="0" fontId="7" fillId="2" borderId="102" xfId="0" applyFont="1" applyFill="1" applyBorder="1" applyAlignment="1">
      <alignment horizontal="right" vertical="center"/>
    </xf>
    <xf numFmtId="0" fontId="7" fillId="2" borderId="85" xfId="0" applyFont="1" applyFill="1" applyBorder="1" applyAlignment="1">
      <alignment vertical="center"/>
    </xf>
    <xf numFmtId="193" fontId="7" fillId="2" borderId="85" xfId="0" applyNumberFormat="1" applyFont="1" applyFill="1" applyBorder="1" applyAlignment="1" applyProtection="1">
      <alignment vertical="center"/>
      <protection locked="0"/>
    </xf>
    <xf numFmtId="0" fontId="7" fillId="2" borderId="93" xfId="0" applyFont="1" applyFill="1" applyBorder="1" applyAlignment="1">
      <alignment horizontal="right" vertical="center"/>
    </xf>
    <xf numFmtId="0" fontId="7" fillId="2" borderId="80" xfId="0" applyFont="1" applyFill="1" applyBorder="1" applyAlignment="1">
      <alignment vertical="center"/>
    </xf>
    <xf numFmtId="193" fontId="11" fillId="2" borderId="94" xfId="0" applyNumberFormat="1" applyFont="1" applyFill="1" applyBorder="1" applyAlignment="1" applyProtection="1">
      <alignment vertical="center"/>
      <protection locked="0"/>
    </xf>
    <xf numFmtId="0" fontId="7" fillId="0" borderId="85" xfId="0" applyFont="1" applyBorder="1" applyAlignment="1">
      <alignment horizontal="left" vertical="center" wrapText="1"/>
    </xf>
    <xf numFmtId="0" fontId="96" fillId="0" borderId="72" xfId="0" applyFont="1" applyBorder="1" applyAlignment="1">
      <alignment horizontal="left" vertical="center"/>
    </xf>
    <xf numFmtId="0" fontId="96" fillId="0" borderId="70" xfId="0" applyFont="1" applyBorder="1" applyAlignment="1">
      <alignment vertical="center" wrapText="1"/>
    </xf>
    <xf numFmtId="0" fontId="96" fillId="0" borderId="70" xfId="0" applyFont="1" applyBorder="1" applyAlignment="1">
      <alignment horizontal="left" vertical="center" wrapText="1"/>
    </xf>
    <xf numFmtId="0" fontId="100" fillId="0" borderId="0" xfId="11" applyFont="1"/>
    <xf numFmtId="0" fontId="101" fillId="0" borderId="0" xfId="0" applyFont="1"/>
    <xf numFmtId="0" fontId="102" fillId="0" borderId="0" xfId="11" applyFont="1"/>
    <xf numFmtId="0" fontId="103" fillId="0" borderId="116" xfId="0" applyFont="1" applyBorder="1" applyAlignment="1">
      <alignment horizontal="left" vertical="center" wrapText="1"/>
    </xf>
    <xf numFmtId="49" fontId="96" fillId="0" borderId="85" xfId="0" applyNumberFormat="1" applyFont="1" applyBorder="1" applyAlignment="1">
      <alignment horizontal="right" vertical="center"/>
    </xf>
    <xf numFmtId="0" fontId="109" fillId="0" borderId="0" xfId="0" applyFont="1"/>
    <xf numFmtId="0" fontId="101" fillId="0" borderId="0" xfId="0" applyFont="1" applyAlignment="1">
      <alignment horizontal="left" indent="1"/>
    </xf>
    <xf numFmtId="0" fontId="101" fillId="0" borderId="0" xfId="0" applyFont="1" applyAlignment="1">
      <alignment horizontal="left" indent="2"/>
    </xf>
    <xf numFmtId="49" fontId="101" fillId="0" borderId="0" xfId="0" applyNumberFormat="1" applyFont="1" applyAlignment="1">
      <alignment horizontal="left" indent="3"/>
    </xf>
    <xf numFmtId="49" fontId="101" fillId="0" borderId="0" xfId="0" applyNumberFormat="1" applyFont="1" applyAlignment="1">
      <alignment horizontal="left" indent="1"/>
    </xf>
    <xf numFmtId="49" fontId="101" fillId="0" borderId="0" xfId="0" applyNumberFormat="1" applyFont="1" applyAlignment="1">
      <alignment horizontal="left" wrapText="1" indent="2"/>
    </xf>
    <xf numFmtId="49" fontId="101" fillId="0" borderId="0" xfId="0" applyNumberFormat="1" applyFont="1" applyAlignment="1">
      <alignment horizontal="left" wrapText="1" indent="3"/>
    </xf>
    <xf numFmtId="0" fontId="101" fillId="0" borderId="0" xfId="0" applyFont="1" applyAlignment="1">
      <alignment horizontal="left" wrapText="1" indent="1"/>
    </xf>
    <xf numFmtId="0" fontId="7" fillId="0" borderId="123" xfId="0" applyFont="1" applyBorder="1" applyAlignment="1">
      <alignment horizontal="center" vertical="center" wrapText="1"/>
    </xf>
    <xf numFmtId="0" fontId="7" fillId="0" borderId="100" xfId="0" applyFont="1" applyBorder="1" applyAlignment="1">
      <alignment horizontal="center" vertical="center" wrapText="1"/>
    </xf>
    <xf numFmtId="49" fontId="96" fillId="0" borderId="123" xfId="0" applyNumberFormat="1" applyFont="1" applyBorder="1" applyAlignment="1">
      <alignment horizontal="right" vertical="center"/>
    </xf>
    <xf numFmtId="0" fontId="15" fillId="0" borderId="123" xfId="0" applyFont="1" applyBorder="1" applyAlignment="1">
      <alignment horizontal="center" vertical="center"/>
    </xf>
    <xf numFmtId="0" fontId="100" fillId="0" borderId="129" xfId="0" applyFont="1" applyBorder="1"/>
    <xf numFmtId="0" fontId="103" fillId="0" borderId="129" xfId="0" applyFont="1" applyBorder="1"/>
    <xf numFmtId="0" fontId="100" fillId="0" borderId="129" xfId="0" applyFont="1" applyBorder="1" applyAlignment="1">
      <alignment horizontal="center" vertical="center" wrapText="1"/>
    </xf>
    <xf numFmtId="0" fontId="100" fillId="0" borderId="130" xfId="0" applyFont="1" applyBorder="1" applyAlignment="1">
      <alignment horizontal="center" vertical="center" wrapText="1"/>
    </xf>
    <xf numFmtId="0" fontId="100" fillId="0" borderId="129" xfId="0" applyFont="1" applyBorder="1" applyAlignment="1">
      <alignment horizontal="center" vertical="center"/>
    </xf>
    <xf numFmtId="0" fontId="100" fillId="0" borderId="0" xfId="0" applyFont="1"/>
    <xf numFmtId="0" fontId="100" fillId="0" borderId="129" xfId="0" applyFont="1" applyBorder="1" applyAlignment="1">
      <alignment horizontal="left" vertical="center" wrapText="1"/>
    </xf>
    <xf numFmtId="0" fontId="103" fillId="0" borderId="129" xfId="0" applyFont="1" applyBorder="1" applyAlignment="1">
      <alignment horizontal="left" wrapText="1" indent="1"/>
    </xf>
    <xf numFmtId="0" fontId="103" fillId="0" borderId="129" xfId="0" applyFont="1" applyBorder="1" applyAlignment="1">
      <alignment horizontal="left" vertical="center" indent="1"/>
    </xf>
    <xf numFmtId="0" fontId="100" fillId="0" borderId="129" xfId="0" applyFont="1" applyBorder="1" applyAlignment="1">
      <alignment horizontal="left" indent="1"/>
    </xf>
    <xf numFmtId="0" fontId="100" fillId="0" borderId="129" xfId="0" applyFont="1" applyBorder="1" applyAlignment="1">
      <alignment horizontal="left" indent="3"/>
    </xf>
    <xf numFmtId="0" fontId="103" fillId="0" borderId="129" xfId="0" applyFont="1" applyBorder="1" applyAlignment="1">
      <alignment horizontal="left" indent="1"/>
    </xf>
    <xf numFmtId="0" fontId="100" fillId="78" borderId="129" xfId="0" applyFont="1" applyFill="1" applyBorder="1"/>
    <xf numFmtId="0" fontId="103" fillId="0" borderId="5" xfId="0" applyFont="1" applyBorder="1"/>
    <xf numFmtId="0" fontId="100" fillId="0" borderId="129" xfId="0" applyFont="1" applyBorder="1" applyAlignment="1">
      <alignment horizontal="left" wrapText="1" indent="2"/>
    </xf>
    <xf numFmtId="0" fontId="100" fillId="0" borderId="129" xfId="0" applyFont="1" applyBorder="1" applyAlignment="1">
      <alignment horizontal="left" wrapText="1"/>
    </xf>
    <xf numFmtId="0" fontId="100" fillId="0" borderId="0" xfId="0" applyFont="1" applyAlignment="1">
      <alignment horizontal="center" vertical="center"/>
    </xf>
    <xf numFmtId="0" fontId="100" fillId="0" borderId="5" xfId="0" applyFont="1" applyBorder="1" applyAlignment="1">
      <alignment horizontal="center" vertical="center" wrapText="1"/>
    </xf>
    <xf numFmtId="0" fontId="100" fillId="0" borderId="9" xfId="0" applyFont="1" applyBorder="1" applyAlignment="1">
      <alignment horizontal="center" vertical="center" wrapText="1"/>
    </xf>
    <xf numFmtId="0" fontId="100" fillId="0" borderId="0" xfId="0" applyFont="1" applyAlignment="1">
      <alignment horizontal="center" vertical="center" wrapText="1"/>
    </xf>
    <xf numFmtId="0" fontId="100" fillId="0" borderId="128" xfId="0" applyFont="1" applyBorder="1" applyAlignment="1">
      <alignment horizontal="center" vertical="center" wrapText="1"/>
    </xf>
    <xf numFmtId="0" fontId="100" fillId="0" borderId="131" xfId="0" applyFont="1" applyBorder="1" applyAlignment="1">
      <alignment horizontal="center" vertical="center" wrapText="1"/>
    </xf>
    <xf numFmtId="0" fontId="100" fillId="0" borderId="127" xfId="0" applyFont="1" applyBorder="1" applyAlignment="1">
      <alignment horizontal="center" vertical="center" wrapText="1"/>
    </xf>
    <xf numFmtId="0" fontId="100" fillId="0" borderId="0" xfId="0" applyFont="1" applyAlignment="1">
      <alignment horizontal="left"/>
    </xf>
    <xf numFmtId="0" fontId="103" fillId="0" borderId="129" xfId="0" applyFont="1" applyBorder="1" applyAlignment="1">
      <alignment horizontal="left" vertical="center" wrapText="1"/>
    </xf>
    <xf numFmtId="0" fontId="7" fillId="0" borderId="0" xfId="0" applyFont="1" applyAlignment="1">
      <alignment wrapText="1"/>
    </xf>
    <xf numFmtId="0" fontId="103" fillId="0" borderId="129" xfId="0" applyFont="1" applyBorder="1" applyAlignment="1">
      <alignment horizontal="center" vertical="center" wrapText="1"/>
    </xf>
    <xf numFmtId="0" fontId="105" fillId="0" borderId="0" xfId="0" applyFont="1" applyAlignment="1">
      <alignment horizontal="center" vertical="center"/>
    </xf>
    <xf numFmtId="0" fontId="100" fillId="0" borderId="121" xfId="0" applyFont="1" applyBorder="1" applyAlignment="1">
      <alignment vertical="center" wrapText="1" readingOrder="1"/>
    </xf>
    <xf numFmtId="0" fontId="100" fillId="0" borderId="120" xfId="0" applyFont="1" applyBorder="1" applyAlignment="1">
      <alignment vertical="center" wrapText="1" readingOrder="1"/>
    </xf>
    <xf numFmtId="0" fontId="96" fillId="0" borderId="129" xfId="0" applyFont="1" applyBorder="1" applyAlignment="1">
      <alignment vertical="center" wrapText="1"/>
    </xf>
    <xf numFmtId="0" fontId="96" fillId="0" borderId="129" xfId="0" applyFont="1" applyBorder="1" applyAlignment="1">
      <alignment horizontal="left" vertical="center" wrapText="1"/>
    </xf>
    <xf numFmtId="0" fontId="96" fillId="0" borderId="129" xfId="0" applyFont="1" applyBorder="1" applyAlignment="1">
      <alignment horizontal="left" indent="2"/>
    </xf>
    <xf numFmtId="0" fontId="96" fillId="0" borderId="129" xfId="0" applyFont="1" applyBorder="1" applyAlignment="1">
      <alignment horizontal="left" vertical="center" indent="1"/>
    </xf>
    <xf numFmtId="0" fontId="96" fillId="0" borderId="129" xfId="0" applyFont="1" applyBorder="1" applyAlignment="1">
      <alignment horizontal="left" vertical="center" wrapText="1" indent="1"/>
    </xf>
    <xf numFmtId="0" fontId="96" fillId="0" borderId="129" xfId="0" applyFont="1" applyBorder="1" applyAlignment="1">
      <alignment horizontal="right" vertical="center"/>
    </xf>
    <xf numFmtId="49" fontId="96" fillId="0" borderId="129" xfId="0" applyNumberFormat="1" applyFont="1" applyBorder="1" applyAlignment="1">
      <alignment horizontal="right" vertical="center"/>
    </xf>
    <xf numFmtId="49" fontId="96" fillId="0" borderId="129" xfId="0" applyNumberFormat="1" applyFont="1" applyBorder="1" applyAlignment="1">
      <alignment vertical="top" wrapText="1"/>
    </xf>
    <xf numFmtId="49" fontId="96" fillId="0" borderId="129" xfId="0" applyNumberFormat="1" applyFont="1" applyBorder="1" applyAlignment="1">
      <alignment horizontal="left" vertical="top" wrapText="1" indent="2"/>
    </xf>
    <xf numFmtId="49" fontId="96" fillId="0" borderId="129" xfId="0" applyNumberFormat="1" applyFont="1" applyBorder="1" applyAlignment="1">
      <alignment horizontal="left" vertical="center" wrapText="1" indent="3"/>
    </xf>
    <xf numFmtId="49" fontId="96" fillId="0" borderId="129" xfId="0" applyNumberFormat="1" applyFont="1" applyBorder="1" applyAlignment="1">
      <alignment horizontal="left" wrapText="1" indent="2"/>
    </xf>
    <xf numFmtId="49" fontId="96" fillId="0" borderId="129" xfId="0" applyNumberFormat="1" applyFont="1" applyBorder="1" applyAlignment="1">
      <alignment horizontal="left" vertical="top" wrapText="1"/>
    </xf>
    <xf numFmtId="49" fontId="96" fillId="0" borderId="129" xfId="0" applyNumberFormat="1" applyFont="1" applyBorder="1" applyAlignment="1">
      <alignment horizontal="left" wrapText="1" indent="3"/>
    </xf>
    <xf numFmtId="49" fontId="96" fillId="0" borderId="129" xfId="0" applyNumberFormat="1" applyFont="1" applyBorder="1" applyAlignment="1">
      <alignment vertical="center"/>
    </xf>
    <xf numFmtId="49" fontId="96" fillId="0" borderId="129" xfId="0" applyNumberFormat="1" applyFont="1" applyBorder="1" applyAlignment="1">
      <alignment horizontal="left" indent="3"/>
    </xf>
    <xf numFmtId="0" fontId="96" fillId="0" borderId="129" xfId="0" applyFont="1" applyBorder="1" applyAlignment="1">
      <alignment horizontal="left" indent="1"/>
    </xf>
    <xf numFmtId="0" fontId="96" fillId="0" borderId="129" xfId="0" applyFont="1" applyBorder="1" applyAlignment="1">
      <alignment horizontal="left" wrapText="1" indent="2"/>
    </xf>
    <xf numFmtId="0" fontId="96" fillId="0" borderId="129" xfId="0" applyFont="1" applyBorder="1" applyAlignment="1">
      <alignment horizontal="left" vertical="top" wrapText="1"/>
    </xf>
    <xf numFmtId="0" fontId="95" fillId="0" borderId="5" xfId="0" applyFont="1" applyBorder="1" applyAlignment="1">
      <alignment wrapText="1"/>
    </xf>
    <xf numFmtId="0" fontId="96" fillId="0" borderId="129" xfId="0" applyFont="1" applyBorder="1" applyAlignment="1">
      <alignment horizontal="left" wrapText="1"/>
    </xf>
    <xf numFmtId="0" fontId="96" fillId="0" borderId="129" xfId="12672" applyFont="1" applyBorder="1" applyAlignment="1">
      <alignment horizontal="left" vertical="center" wrapText="1" indent="2"/>
    </xf>
    <xf numFmtId="0" fontId="96" fillId="0" borderId="129" xfId="0" applyFont="1" applyBorder="1" applyAlignment="1">
      <alignment wrapText="1"/>
    </xf>
    <xf numFmtId="0" fontId="96" fillId="0" borderId="129" xfId="0" applyFont="1" applyBorder="1"/>
    <xf numFmtId="0" fontId="96" fillId="0" borderId="129" xfId="12672" applyFont="1" applyBorder="1" applyAlignment="1">
      <alignment horizontal="left" vertical="center" wrapText="1"/>
    </xf>
    <xf numFmtId="0" fontId="95" fillId="0" borderId="129" xfId="0" applyFont="1" applyBorder="1" applyAlignment="1">
      <alignment wrapText="1"/>
    </xf>
    <xf numFmtId="0" fontId="96" fillId="0" borderId="131" xfId="0" applyFont="1" applyBorder="1" applyAlignment="1">
      <alignment horizontal="left" vertical="center" wrapText="1"/>
    </xf>
    <xf numFmtId="0" fontId="96" fillId="3" borderId="129" xfId="5" applyFont="1" applyFill="1" applyBorder="1" applyAlignment="1" applyProtection="1">
      <alignment horizontal="right" vertical="center"/>
      <protection locked="0"/>
    </xf>
    <xf numFmtId="2" fontId="96" fillId="3" borderId="129" xfId="5" applyNumberFormat="1" applyFont="1" applyFill="1" applyBorder="1" applyAlignment="1" applyProtection="1">
      <alignment horizontal="right" vertical="center"/>
      <protection locked="0"/>
    </xf>
    <xf numFmtId="0" fontId="96" fillId="0" borderId="129" xfId="0" applyFont="1" applyBorder="1" applyAlignment="1">
      <alignment vertical="center"/>
    </xf>
    <xf numFmtId="0" fontId="96" fillId="0" borderId="130" xfId="0" applyFont="1" applyBorder="1" applyAlignment="1">
      <alignment vertical="center" wrapText="1"/>
    </xf>
    <xf numFmtId="0" fontId="108" fillId="0" borderId="0" xfId="0" applyFont="1" applyAlignment="1">
      <alignment horizontal="left" indent="2"/>
    </xf>
    <xf numFmtId="0" fontId="100" fillId="0" borderId="0" xfId="0" applyFont="1" applyAlignment="1">
      <alignment horizontal="left" vertical="center" indent="1"/>
    </xf>
    <xf numFmtId="0" fontId="100" fillId="0" borderId="0" xfId="0" applyFont="1" applyAlignment="1">
      <alignment vertical="center" wrapText="1"/>
    </xf>
    <xf numFmtId="0" fontId="110" fillId="0" borderId="0" xfId="0" applyFont="1" applyAlignment="1">
      <alignment horizontal="left" vertical="center" wrapText="1" readingOrder="1"/>
    </xf>
    <xf numFmtId="0" fontId="108" fillId="0" borderId="0" xfId="0" applyFont="1" applyAlignment="1">
      <alignment horizontal="left" vertical="center" wrapText="1"/>
    </xf>
    <xf numFmtId="0" fontId="100" fillId="0" borderId="0" xfId="0" applyFont="1" applyAlignment="1">
      <alignment horizontal="left" vertical="center" wrapText="1"/>
    </xf>
    <xf numFmtId="0" fontId="96" fillId="0" borderId="130" xfId="0" applyFont="1" applyBorder="1" applyAlignment="1">
      <alignment horizontal="left" indent="2"/>
    </xf>
    <xf numFmtId="0" fontId="96" fillId="0" borderId="122" xfId="0" applyFont="1" applyBorder="1" applyAlignment="1">
      <alignment horizontal="left" vertical="center" wrapText="1" readingOrder="1"/>
    </xf>
    <xf numFmtId="0" fontId="96" fillId="0" borderId="129" xfId="0" applyFont="1" applyBorder="1" applyAlignment="1">
      <alignment horizontal="left" vertical="center" wrapText="1" readingOrder="1"/>
    </xf>
    <xf numFmtId="0" fontId="96" fillId="0" borderId="0" xfId="0" applyFont="1" applyAlignment="1">
      <alignment wrapText="1"/>
    </xf>
    <xf numFmtId="49" fontId="114" fillId="0" borderId="85" xfId="0" applyNumberFormat="1" applyFont="1" applyBorder="1" applyAlignment="1">
      <alignment horizontal="right" vertical="center"/>
    </xf>
    <xf numFmtId="0" fontId="114" fillId="0" borderId="129" xfId="12672" applyFont="1" applyBorder="1" applyAlignment="1">
      <alignment horizontal="left" vertical="center" wrapText="1"/>
    </xf>
    <xf numFmtId="0" fontId="114" fillId="0" borderId="130" xfId="0" applyFont="1" applyBorder="1" applyAlignment="1">
      <alignment horizontal="left" vertical="top" wrapText="1"/>
    </xf>
    <xf numFmtId="193" fontId="11" fillId="2" borderId="129" xfId="0" applyNumberFormat="1" applyFont="1" applyFill="1" applyBorder="1" applyAlignment="1" applyProtection="1">
      <alignment vertical="center"/>
      <protection locked="0"/>
    </xf>
    <xf numFmtId="193" fontId="11" fillId="2" borderId="138" xfId="0" applyNumberFormat="1" applyFont="1" applyFill="1" applyBorder="1" applyAlignment="1" applyProtection="1">
      <alignment vertical="center"/>
      <protection locked="0"/>
    </xf>
    <xf numFmtId="193" fontId="7" fillId="2" borderId="129" xfId="0" applyNumberFormat="1" applyFont="1" applyFill="1" applyBorder="1" applyAlignment="1" applyProtection="1">
      <alignment vertical="center"/>
      <protection locked="0"/>
    </xf>
    <xf numFmtId="193" fontId="7" fillId="2" borderId="138" xfId="0" applyNumberFormat="1" applyFont="1" applyFill="1" applyBorder="1" applyAlignment="1" applyProtection="1">
      <alignment vertical="center"/>
      <protection locked="0"/>
    </xf>
    <xf numFmtId="193" fontId="11" fillId="2" borderId="135" xfId="0" applyNumberFormat="1" applyFont="1" applyFill="1" applyBorder="1" applyAlignment="1" applyProtection="1">
      <alignment vertical="center"/>
      <protection locked="0"/>
    </xf>
    <xf numFmtId="0" fontId="118" fillId="3" borderId="0" xfId="0" applyFont="1" applyFill="1"/>
    <xf numFmtId="0" fontId="96" fillId="0" borderId="132" xfId="13" applyFont="1" applyBorder="1" applyAlignment="1" applyProtection="1">
      <alignment horizontal="left" vertical="top" wrapText="1"/>
      <protection locked="0"/>
    </xf>
    <xf numFmtId="0" fontId="96" fillId="0" borderId="131" xfId="13" applyFont="1" applyBorder="1" applyAlignment="1" applyProtection="1">
      <alignment horizontal="left" vertical="top" wrapText="1"/>
      <protection locked="0"/>
    </xf>
    <xf numFmtId="0" fontId="96" fillId="0" borderId="129" xfId="0" applyFont="1" applyBorder="1" applyAlignment="1">
      <alignment horizontal="left" vertical="top" wrapText="1" indent="2"/>
    </xf>
    <xf numFmtId="0" fontId="96" fillId="0" borderId="130" xfId="0" applyFont="1" applyBorder="1" applyAlignment="1">
      <alignment horizontal="left" vertical="top" wrapText="1"/>
    </xf>
    <xf numFmtId="0" fontId="3" fillId="0" borderId="0" xfId="0" applyFont="1" applyAlignment="1">
      <alignment vertical="top"/>
    </xf>
    <xf numFmtId="0" fontId="7" fillId="0" borderId="102" xfId="0" applyFont="1" applyBorder="1" applyAlignment="1">
      <alignment horizontal="right" vertical="center"/>
    </xf>
    <xf numFmtId="0" fontId="7" fillId="0" borderId="85" xfId="0" applyFont="1" applyBorder="1" applyAlignment="1">
      <alignment vertical="center"/>
    </xf>
    <xf numFmtId="193" fontId="11" fillId="0" borderId="138" xfId="0" applyNumberFormat="1" applyFont="1" applyBorder="1" applyAlignment="1" applyProtection="1">
      <alignment vertical="center"/>
      <protection locked="0"/>
    </xf>
    <xf numFmtId="49" fontId="96" fillId="0" borderId="129" xfId="0" applyNumberFormat="1" applyFont="1" applyBorder="1" applyAlignment="1">
      <alignment horizontal="right" vertical="top"/>
    </xf>
    <xf numFmtId="0" fontId="96" fillId="0" borderId="129" xfId="0" applyFont="1" applyBorder="1" applyAlignment="1">
      <alignment horizontal="left" vertical="top"/>
    </xf>
    <xf numFmtId="0" fontId="96" fillId="0" borderId="0" xfId="0" applyFont="1" applyAlignment="1">
      <alignment vertical="top"/>
    </xf>
    <xf numFmtId="0" fontId="122" fillId="0" borderId="85" xfId="17" applyFont="1" applyFill="1" applyBorder="1" applyAlignment="1" applyProtection="1">
      <alignment horizontal="left" vertical="center" wrapText="1"/>
    </xf>
    <xf numFmtId="49" fontId="15" fillId="0" borderId="85" xfId="0" applyNumberFormat="1" applyFont="1" applyBorder="1" applyAlignment="1">
      <alignment horizontal="right" vertical="center" wrapText="1"/>
    </xf>
    <xf numFmtId="0" fontId="122" fillId="0" borderId="85" xfId="17" applyFont="1" applyFill="1" applyBorder="1" applyAlignment="1" applyProtection="1">
      <alignment horizontal="left" vertical="center"/>
    </xf>
    <xf numFmtId="0" fontId="123" fillId="0" borderId="0" xfId="0" applyFont="1"/>
    <xf numFmtId="0" fontId="8" fillId="0" borderId="1" xfId="0" applyFont="1" applyBorder="1" applyAlignment="1">
      <alignment horizontal="center" vertical="center"/>
    </xf>
    <xf numFmtId="0" fontId="7" fillId="0" borderId="11" xfId="0" applyFont="1" applyBorder="1" applyAlignment="1">
      <alignment vertical="center" wrapText="1"/>
    </xf>
    <xf numFmtId="0" fontId="7" fillId="0" borderId="11" xfId="0" applyFont="1" applyBorder="1" applyAlignment="1">
      <alignment horizontal="left" vertical="center" wrapText="1" indent="1"/>
    </xf>
    <xf numFmtId="0" fontId="7" fillId="0" borderId="12" xfId="0" applyFont="1" applyBorder="1" applyAlignment="1">
      <alignment horizontal="left" vertical="center" wrapText="1" indent="1"/>
    </xf>
    <xf numFmtId="0" fontId="8" fillId="0" borderId="85" xfId="0" applyFont="1" applyBorder="1" applyAlignment="1">
      <alignment horizontal="center" vertical="center" wrapText="1"/>
    </xf>
    <xf numFmtId="169" fontId="7" fillId="36" borderId="0" xfId="20" applyFont="1"/>
    <xf numFmtId="169" fontId="7" fillId="36" borderId="78" xfId="20" applyFont="1" applyBorder="1"/>
    <xf numFmtId="0" fontId="121" fillId="0" borderId="85" xfId="0" applyFont="1" applyBorder="1" applyAlignment="1">
      <alignment horizontal="left" vertical="center" wrapText="1"/>
    </xf>
    <xf numFmtId="0" fontId="7" fillId="0" borderId="85" xfId="0" applyFont="1" applyBorder="1" applyAlignment="1">
      <alignment vertical="center" wrapText="1"/>
    </xf>
    <xf numFmtId="193" fontId="15" fillId="0" borderId="129" xfId="0" applyNumberFormat="1" applyFont="1" applyBorder="1" applyAlignment="1" applyProtection="1">
      <alignment vertical="center" wrapText="1"/>
      <protection locked="0"/>
    </xf>
    <xf numFmtId="193" fontId="15" fillId="0" borderId="138" xfId="0" applyNumberFormat="1" applyFont="1" applyBorder="1" applyAlignment="1" applyProtection="1">
      <alignment vertical="center" wrapText="1"/>
      <protection locked="0"/>
    </xf>
    <xf numFmtId="10" fontId="15" fillId="0" borderId="129" xfId="20961" applyNumberFormat="1" applyFont="1" applyBorder="1" applyAlignment="1" applyProtection="1">
      <alignment vertical="center" wrapText="1"/>
      <protection locked="0"/>
    </xf>
    <xf numFmtId="10" fontId="15" fillId="0" borderId="138" xfId="20961" applyNumberFormat="1" applyFont="1" applyBorder="1" applyAlignment="1" applyProtection="1">
      <alignment vertical="center" wrapText="1"/>
      <protection locked="0"/>
    </xf>
    <xf numFmtId="169" fontId="7" fillId="0" borderId="0" xfId="20" applyFont="1" applyFill="1"/>
    <xf numFmtId="169" fontId="7" fillId="0" borderId="78" xfId="20" applyFont="1" applyFill="1" applyBorder="1"/>
    <xf numFmtId="10" fontId="15" fillId="0" borderId="129" xfId="20961" applyNumberFormat="1" applyFont="1" applyFill="1" applyBorder="1" applyAlignment="1" applyProtection="1">
      <alignment vertical="center" wrapText="1"/>
      <protection locked="0"/>
    </xf>
    <xf numFmtId="10" fontId="15" fillId="0" borderId="138" xfId="20961" applyNumberFormat="1" applyFont="1" applyFill="1" applyBorder="1" applyAlignment="1" applyProtection="1">
      <alignment vertical="center" wrapText="1"/>
      <protection locked="0"/>
    </xf>
    <xf numFmtId="0" fontId="8" fillId="0" borderId="102" xfId="0" applyFont="1" applyBorder="1" applyAlignment="1">
      <alignment horizontal="center" vertical="center" wrapText="1"/>
    </xf>
    <xf numFmtId="0" fontId="15" fillId="0" borderId="0" xfId="0" applyFont="1" applyAlignment="1">
      <alignment wrapText="1"/>
    </xf>
    <xf numFmtId="0" fontId="15" fillId="0" borderId="102" xfId="0" applyFont="1" applyBorder="1" applyAlignment="1">
      <alignment horizontal="center" vertical="center" wrapText="1"/>
    </xf>
    <xf numFmtId="0" fontId="15" fillId="0" borderId="85" xfId="0" applyFont="1" applyBorder="1" applyAlignment="1">
      <alignment vertical="center" wrapText="1"/>
    </xf>
    <xf numFmtId="0" fontId="15" fillId="0" borderId="16" xfId="0" applyFont="1" applyBorder="1" applyAlignment="1">
      <alignment horizontal="center" vertical="center" wrapText="1"/>
    </xf>
    <xf numFmtId="0" fontId="14" fillId="0" borderId="17" xfId="0" applyFont="1" applyBorder="1" applyAlignment="1">
      <alignment vertical="center" wrapText="1"/>
    </xf>
    <xf numFmtId="0" fontId="8" fillId="0" borderId="1" xfId="11" applyFont="1" applyBorder="1" applyAlignment="1">
      <alignment horizontal="left" vertical="center"/>
    </xf>
    <xf numFmtId="0" fontId="7" fillId="0" borderId="10" xfId="11" applyFont="1" applyBorder="1" applyAlignment="1">
      <alignment vertical="center"/>
    </xf>
    <xf numFmtId="0" fontId="7" fillId="0" borderId="11" xfId="11" applyFont="1" applyBorder="1" applyAlignment="1">
      <alignment vertical="center"/>
    </xf>
    <xf numFmtId="0" fontId="8" fillId="0" borderId="11" xfId="11" applyFont="1" applyBorder="1" applyAlignment="1">
      <alignment horizontal="center" vertical="center"/>
    </xf>
    <xf numFmtId="0" fontId="8" fillId="0" borderId="12" xfId="11" applyFont="1" applyBorder="1" applyAlignment="1">
      <alignment horizontal="center" vertical="center"/>
    </xf>
    <xf numFmtId="0" fontId="15" fillId="0" borderId="5" xfId="0" applyFont="1" applyBorder="1" applyAlignment="1">
      <alignment horizontal="center" vertical="center" wrapText="1"/>
    </xf>
    <xf numFmtId="0" fontId="15" fillId="0" borderId="50" xfId="0" applyFont="1" applyBorder="1" applyAlignment="1">
      <alignment horizontal="center" vertical="center" wrapText="1"/>
    </xf>
    <xf numFmtId="0" fontId="14" fillId="35" borderId="103" xfId="0" applyFont="1" applyFill="1" applyBorder="1" applyAlignment="1">
      <alignment vertical="center" wrapText="1"/>
    </xf>
    <xf numFmtId="0" fontId="8" fillId="0" borderId="0" xfId="11" applyFont="1" applyAlignment="1">
      <alignment horizontal="center" vertical="center" wrapTex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vertical="center"/>
    </xf>
    <xf numFmtId="0" fontId="14" fillId="0" borderId="0" xfId="0" applyFont="1" applyAlignment="1">
      <alignment horizontal="center"/>
    </xf>
    <xf numFmtId="0" fontId="7" fillId="0" borderId="10" xfId="9" applyFont="1" applyBorder="1" applyAlignment="1" applyProtection="1">
      <alignment horizontal="center" vertical="center"/>
      <protection locked="0"/>
    </xf>
    <xf numFmtId="0" fontId="8" fillId="3" borderId="4" xfId="9" applyFont="1" applyFill="1" applyBorder="1" applyAlignment="1" applyProtection="1">
      <alignment horizontal="center" vertical="center" wrapText="1"/>
      <protection locked="0"/>
    </xf>
    <xf numFmtId="165" fontId="7" fillId="3" borderId="12" xfId="2" applyNumberFormat="1" applyFont="1" applyFill="1" applyBorder="1" applyAlignment="1" applyProtection="1">
      <alignment horizontal="center" vertical="center"/>
      <protection locked="0"/>
    </xf>
    <xf numFmtId="0" fontId="7" fillId="0" borderId="13" xfId="9" applyFont="1" applyBorder="1" applyAlignment="1" applyProtection="1">
      <alignment horizontal="center" vertical="center"/>
      <protection locked="0"/>
    </xf>
    <xf numFmtId="0" fontId="7" fillId="3" borderId="5" xfId="13" applyFont="1" applyFill="1" applyBorder="1" applyAlignment="1" applyProtection="1">
      <alignment vertical="center" wrapText="1"/>
      <protection locked="0"/>
    </xf>
    <xf numFmtId="0" fontId="7" fillId="3" borderId="3"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5" xfId="13" applyFont="1" applyFill="1" applyBorder="1" applyAlignment="1" applyProtection="1">
      <alignment horizontal="lef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9" applyFont="1" applyBorder="1" applyAlignment="1" applyProtection="1">
      <alignment horizontal="left" vertical="center" wrapText="1"/>
      <protection locked="0"/>
    </xf>
    <xf numFmtId="0" fontId="7" fillId="0" borderId="13" xfId="9" applyFont="1" applyBorder="1" applyAlignment="1" applyProtection="1">
      <alignment horizontal="center" vertical="center" wrapText="1"/>
      <protection locked="0"/>
    </xf>
    <xf numFmtId="0" fontId="8" fillId="3" borderId="3" xfId="13" applyFont="1" applyFill="1" applyBorder="1" applyAlignment="1" applyProtection="1">
      <alignment vertical="center" wrapText="1"/>
      <protection locked="0"/>
    </xf>
    <xf numFmtId="0" fontId="8" fillId="35" borderId="3" xfId="13" applyFont="1" applyFill="1" applyBorder="1" applyAlignment="1" applyProtection="1">
      <alignment vertical="center" wrapText="1"/>
      <protection locked="0"/>
    </xf>
    <xf numFmtId="0" fontId="7" fillId="0" borderId="3" xfId="13" applyFont="1" applyBorder="1" applyAlignment="1" applyProtection="1">
      <alignment vertical="center" wrapText="1"/>
      <protection locked="0"/>
    </xf>
    <xf numFmtId="0" fontId="8" fillId="35" borderId="17" xfId="13" applyFont="1" applyFill="1" applyBorder="1" applyAlignment="1" applyProtection="1">
      <alignment vertical="center" wrapText="1"/>
      <protection locked="0"/>
    </xf>
    <xf numFmtId="0" fontId="14" fillId="0" borderId="0" xfId="21410" applyFont="1" applyAlignment="1" applyProtection="1">
      <alignment horizontal="left" vertical="center"/>
      <protection locked="0"/>
    </xf>
    <xf numFmtId="0" fontId="14" fillId="35" borderId="11" xfId="0" applyFont="1" applyFill="1" applyBorder="1" applyAlignment="1">
      <alignment horizontal="center" vertical="center" wrapText="1"/>
    </xf>
    <xf numFmtId="0" fontId="14" fillId="35" borderId="12" xfId="0" applyFont="1" applyFill="1" applyBorder="1" applyAlignment="1">
      <alignment horizontal="center" vertical="center" wrapText="1"/>
    </xf>
    <xf numFmtId="0" fontId="14" fillId="35" borderId="102" xfId="0" applyFont="1" applyFill="1" applyBorder="1" applyAlignment="1">
      <alignment horizontal="left" vertical="center" wrapText="1"/>
    </xf>
    <xf numFmtId="0" fontId="14" fillId="35" borderId="85" xfId="0" applyFont="1" applyFill="1" applyBorder="1" applyAlignment="1">
      <alignment horizontal="left" vertical="center" wrapText="1"/>
    </xf>
    <xf numFmtId="0" fontId="14" fillId="35" borderId="100" xfId="0" applyFont="1" applyFill="1" applyBorder="1" applyAlignment="1">
      <alignment horizontal="left" vertical="center" wrapText="1"/>
    </xf>
    <xf numFmtId="0" fontId="15" fillId="0" borderId="85" xfId="0" applyFont="1" applyBorder="1" applyAlignment="1">
      <alignment horizontal="left" vertical="center" wrapText="1"/>
    </xf>
    <xf numFmtId="1" fontId="15" fillId="0" borderId="100" xfId="0" applyNumberFormat="1" applyFont="1" applyBorder="1" applyAlignment="1">
      <alignment horizontal="right" vertical="center" wrapText="1"/>
    </xf>
    <xf numFmtId="10" fontId="15" fillId="0" borderId="85" xfId="20961" applyNumberFormat="1" applyFont="1" applyFill="1" applyBorder="1" applyAlignment="1">
      <alignment horizontal="left" vertical="center" wrapText="1"/>
    </xf>
    <xf numFmtId="10" fontId="14" fillId="35" borderId="85" xfId="0" applyNumberFormat="1" applyFont="1" applyFill="1" applyBorder="1" applyAlignment="1">
      <alignment horizontal="left" vertical="center" wrapText="1"/>
    </xf>
    <xf numFmtId="1" fontId="14" fillId="35" borderId="100" xfId="0" applyNumberFormat="1" applyFont="1" applyFill="1" applyBorder="1" applyAlignment="1">
      <alignment horizontal="right" vertical="center" wrapText="1"/>
    </xf>
    <xf numFmtId="10" fontId="14" fillId="35" borderId="85" xfId="20961" applyNumberFormat="1" applyFont="1" applyFill="1" applyBorder="1" applyAlignment="1">
      <alignment horizontal="left" vertical="center" wrapText="1"/>
    </xf>
    <xf numFmtId="10" fontId="14" fillId="35" borderId="85" xfId="0" applyNumberFormat="1" applyFont="1" applyFill="1" applyBorder="1" applyAlignment="1">
      <alignment horizontal="center" vertical="center" wrapText="1"/>
    </xf>
    <xf numFmtId="1" fontId="14" fillId="35" borderId="100" xfId="0" applyNumberFormat="1" applyFont="1" applyFill="1" applyBorder="1" applyAlignment="1">
      <alignment horizontal="center" vertical="center" wrapText="1"/>
    </xf>
    <xf numFmtId="0" fontId="14" fillId="0" borderId="102" xfId="0" applyFont="1" applyBorder="1" applyAlignment="1">
      <alignment horizontal="left" vertical="center" wrapText="1"/>
    </xf>
    <xf numFmtId="49" fontId="8" fillId="0" borderId="16" xfId="5" applyNumberFormat="1" applyFont="1" applyBorder="1" applyAlignment="1" applyProtection="1">
      <alignment horizontal="left" vertical="center"/>
      <protection locked="0"/>
    </xf>
    <xf numFmtId="0" fontId="7" fillId="0" borderId="17" xfId="9" applyFont="1" applyBorder="1" applyAlignment="1" applyProtection="1">
      <alignment horizontal="left" vertical="center" wrapText="1"/>
      <protection locked="0"/>
    </xf>
    <xf numFmtId="0" fontId="14" fillId="0" borderId="0" xfId="0" applyFont="1" applyAlignment="1">
      <alignment horizontal="center" wrapText="1"/>
    </xf>
    <xf numFmtId="0" fontId="15" fillId="0" borderId="46" xfId="0" applyFont="1" applyBorder="1"/>
    <xf numFmtId="0" fontId="15" fillId="0" borderId="47" xfId="0" applyFont="1" applyBorder="1"/>
    <xf numFmtId="0" fontId="15" fillId="0" borderId="11" xfId="0" applyFont="1" applyBorder="1" applyAlignment="1">
      <alignment horizontal="center" vertical="center"/>
    </xf>
    <xf numFmtId="0" fontId="15" fillId="0" borderId="20" xfId="0" applyFont="1" applyBorder="1" applyAlignment="1">
      <alignment horizontal="center" vertical="center"/>
    </xf>
    <xf numFmtId="0" fontId="15" fillId="0" borderId="12" xfId="0" applyFont="1" applyBorder="1" applyAlignment="1">
      <alignment horizontal="center" vertical="center"/>
    </xf>
    <xf numFmtId="0" fontId="15" fillId="0" borderId="49" xfId="0" applyFont="1" applyBorder="1"/>
    <xf numFmtId="9" fontId="101" fillId="0" borderId="3" xfId="0" applyNumberFormat="1" applyFont="1" applyBorder="1" applyAlignment="1">
      <alignment horizontal="center" vertical="center"/>
    </xf>
    <xf numFmtId="0" fontId="15" fillId="0" borderId="13" xfId="0" applyFont="1" applyBorder="1" applyAlignment="1">
      <alignment vertical="center"/>
    </xf>
    <xf numFmtId="0" fontId="7" fillId="3" borderId="3" xfId="13" applyFont="1" applyFill="1" applyBorder="1" applyAlignment="1" applyProtection="1">
      <alignment horizontal="left" vertical="center"/>
      <protection locked="0"/>
    </xf>
    <xf numFmtId="0" fontId="7" fillId="3" borderId="16" xfId="9" applyFont="1" applyFill="1" applyBorder="1" applyAlignment="1" applyProtection="1">
      <alignment horizontal="left" vertical="center"/>
      <protection locked="0"/>
    </xf>
    <xf numFmtId="0" fontId="8" fillId="3" borderId="17" xfId="16" applyFont="1" applyFill="1" applyBorder="1" applyProtection="1">
      <protection locked="0"/>
    </xf>
    <xf numFmtId="0" fontId="15" fillId="0" borderId="10" xfId="0" applyFont="1" applyBorder="1"/>
    <xf numFmtId="0" fontId="15" fillId="0" borderId="12" xfId="0" applyFont="1" applyBorder="1"/>
    <xf numFmtId="0" fontId="15" fillId="0" borderId="14" xfId="0" applyFont="1" applyBorder="1" applyAlignment="1">
      <alignment horizontal="center" vertical="center"/>
    </xf>
    <xf numFmtId="165" fontId="7" fillId="0" borderId="13" xfId="1" applyNumberFormat="1" applyFont="1" applyFill="1" applyBorder="1" applyAlignment="1" applyProtection="1">
      <alignment horizontal="center" vertical="center" wrapText="1"/>
      <protection locked="0"/>
    </xf>
    <xf numFmtId="165" fontId="7" fillId="3" borderId="3" xfId="1" applyNumberFormat="1" applyFont="1" applyFill="1" applyBorder="1" applyAlignment="1" applyProtection="1">
      <alignment horizontal="center" vertical="center" wrapText="1"/>
      <protection locked="0"/>
    </xf>
    <xf numFmtId="0" fontId="7" fillId="0" borderId="3" xfId="13" applyFont="1" applyBorder="1" applyAlignment="1" applyProtection="1">
      <alignment horizontal="center" vertical="center" wrapText="1"/>
      <protection locked="0"/>
    </xf>
    <xf numFmtId="165" fontId="7" fillId="0" borderId="3" xfId="1" applyNumberFormat="1" applyFont="1" applyFill="1" applyBorder="1" applyAlignment="1" applyProtection="1">
      <alignment horizontal="center" vertical="center" wrapText="1"/>
      <protection locked="0"/>
    </xf>
    <xf numFmtId="165" fontId="7" fillId="0" borderId="14" xfId="1" applyNumberFormat="1" applyFont="1" applyFill="1" applyBorder="1" applyAlignment="1" applyProtection="1">
      <alignment horizontal="center" vertical="center" wrapText="1"/>
      <protection locked="0"/>
    </xf>
    <xf numFmtId="165" fontId="7" fillId="3" borderId="13" xfId="1" applyNumberFormat="1" applyFont="1" applyFill="1" applyBorder="1" applyAlignment="1" applyProtection="1">
      <alignment horizontal="center" vertical="center" wrapText="1"/>
      <protection locked="0"/>
    </xf>
    <xf numFmtId="165" fontId="7" fillId="3" borderId="14" xfId="1" applyNumberFormat="1" applyFont="1" applyFill="1" applyBorder="1" applyAlignment="1" applyProtection="1">
      <alignment horizontal="center" vertical="center" wrapText="1"/>
      <protection locked="0"/>
    </xf>
    <xf numFmtId="0" fontId="7" fillId="3" borderId="13" xfId="5" applyFont="1" applyFill="1" applyBorder="1" applyAlignment="1" applyProtection="1">
      <alignment horizontal="right" vertical="center"/>
      <protection locked="0"/>
    </xf>
    <xf numFmtId="0" fontId="8" fillId="3" borderId="18" xfId="16" applyFont="1" applyFill="1" applyBorder="1" applyProtection="1">
      <protection locked="0"/>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11" xfId="0" applyFont="1" applyBorder="1"/>
    <xf numFmtId="0" fontId="15" fillId="0" borderId="11" xfId="0" applyFont="1" applyBorder="1" applyAlignment="1">
      <alignment wrapText="1"/>
    </xf>
    <xf numFmtId="0" fontId="15" fillId="0" borderId="20" xfId="0" applyFont="1" applyBorder="1" applyAlignment="1">
      <alignment wrapText="1"/>
    </xf>
    <xf numFmtId="0" fontId="15" fillId="0" borderId="12" xfId="0" applyFont="1" applyBorder="1" applyAlignment="1">
      <alignment wrapText="1"/>
    </xf>
    <xf numFmtId="0" fontId="15" fillId="0" borderId="5" xfId="0" applyFont="1" applyBorder="1"/>
    <xf numFmtId="0" fontId="15" fillId="0" borderId="3" xfId="0" applyFont="1" applyBorder="1" applyAlignment="1">
      <alignment horizontal="center" vertical="center" wrapText="1"/>
    </xf>
    <xf numFmtId="0" fontId="15" fillId="0" borderId="13" xfId="0" applyFont="1" applyBorder="1"/>
    <xf numFmtId="9" fontId="15" fillId="0" borderId="14" xfId="20961" applyFont="1" applyBorder="1"/>
    <xf numFmtId="0" fontId="15" fillId="0" borderId="16" xfId="0" applyFont="1" applyBorder="1"/>
    <xf numFmtId="0" fontId="14" fillId="0" borderId="17" xfId="0" applyFont="1" applyBorder="1"/>
    <xf numFmtId="0" fontId="13" fillId="3" borderId="98" xfId="0" applyFont="1" applyFill="1" applyBorder="1" applyAlignment="1">
      <alignment horizontal="left"/>
    </xf>
    <xf numFmtId="0" fontId="13" fillId="3" borderId="99" xfId="0" applyFont="1" applyFill="1" applyBorder="1" applyAlignment="1">
      <alignment horizontal="left"/>
    </xf>
    <xf numFmtId="0" fontId="15" fillId="0" borderId="85" xfId="0" applyFont="1" applyBorder="1" applyAlignment="1">
      <alignment horizontal="center" vertical="center" wrapText="1"/>
    </xf>
    <xf numFmtId="0" fontId="15" fillId="0" borderId="100" xfId="0" applyFont="1" applyBorder="1" applyAlignment="1">
      <alignment horizontal="center" vertical="center" wrapText="1"/>
    </xf>
    <xf numFmtId="0" fontId="14" fillId="3" borderId="101" xfId="0" applyFont="1" applyFill="1" applyBorder="1" applyAlignment="1">
      <alignment vertical="center"/>
    </xf>
    <xf numFmtId="0" fontId="15" fillId="3" borderId="83" xfId="0" applyFont="1" applyFill="1" applyBorder="1" applyAlignment="1">
      <alignment vertical="center"/>
    </xf>
    <xf numFmtId="0" fontId="15" fillId="3" borderId="15" xfId="0" applyFont="1" applyFill="1" applyBorder="1" applyAlignment="1">
      <alignment vertical="center"/>
    </xf>
    <xf numFmtId="0" fontId="15" fillId="0" borderId="55" xfId="0" applyFont="1" applyBorder="1" applyAlignment="1">
      <alignment horizontal="center" vertical="center"/>
    </xf>
    <xf numFmtId="0" fontId="15" fillId="0" borderId="5" xfId="0" applyFont="1" applyBorder="1" applyAlignment="1">
      <alignment vertical="center"/>
    </xf>
    <xf numFmtId="0" fontId="15" fillId="0" borderId="102" xfId="0" applyFont="1" applyBorder="1" applyAlignment="1">
      <alignment horizontal="center" vertical="center"/>
    </xf>
    <xf numFmtId="0" fontId="15" fillId="0" borderId="85" xfId="0" applyFont="1" applyBorder="1" applyAlignment="1">
      <alignment vertical="center"/>
    </xf>
    <xf numFmtId="0" fontId="14" fillId="0" borderId="85" xfId="0" applyFont="1" applyBorder="1" applyAlignment="1">
      <alignment vertical="center"/>
    </xf>
    <xf numFmtId="0" fontId="15" fillId="0" borderId="16" xfId="0" applyFont="1" applyBorder="1" applyAlignment="1">
      <alignment horizontal="center" vertical="center"/>
    </xf>
    <xf numFmtId="0" fontId="14" fillId="0" borderId="17" xfId="0" applyFont="1" applyBorder="1" applyAlignment="1">
      <alignment vertical="center"/>
    </xf>
    <xf numFmtId="0" fontId="15" fillId="3" borderId="49" xfId="0" applyFont="1" applyFill="1" applyBorder="1" applyAlignment="1">
      <alignment horizontal="center" vertical="center"/>
    </xf>
    <xf numFmtId="0" fontId="15" fillId="3" borderId="0" xfId="0" applyFont="1" applyFill="1" applyAlignment="1">
      <alignment vertical="center"/>
    </xf>
    <xf numFmtId="0" fontId="15" fillId="0" borderId="10" xfId="0" applyFont="1" applyBorder="1" applyAlignment="1">
      <alignment horizontal="center" vertical="center"/>
    </xf>
    <xf numFmtId="0" fontId="15" fillId="0" borderId="11" xfId="0" applyFont="1" applyBorder="1" applyAlignment="1">
      <alignment vertical="center"/>
    </xf>
    <xf numFmtId="169" fontId="7" fillId="36" borderId="47" xfId="20" applyFont="1" applyBorder="1"/>
    <xf numFmtId="0" fontId="15" fillId="0" borderId="93" xfId="0" applyFont="1" applyBorder="1" applyAlignment="1">
      <alignment horizontal="center" vertical="center"/>
    </xf>
    <xf numFmtId="0" fontId="15" fillId="0" borderId="80" xfId="0" applyFont="1" applyBorder="1" applyAlignment="1">
      <alignment vertical="center"/>
    </xf>
    <xf numFmtId="169" fontId="7" fillId="36" borderId="19" xfId="20" applyFont="1" applyBorder="1"/>
    <xf numFmtId="169" fontId="7" fillId="36" borderId="97" xfId="20" applyFont="1" applyBorder="1"/>
    <xf numFmtId="169" fontId="7" fillId="36" borderId="87" xfId="20" applyFont="1" applyBorder="1"/>
    <xf numFmtId="0" fontId="15" fillId="0" borderId="95" xfId="0" applyFont="1" applyBorder="1" applyAlignment="1">
      <alignment horizontal="center" vertical="center"/>
    </xf>
    <xf numFmtId="0" fontId="15" fillId="0" borderId="82" xfId="0" applyFont="1" applyBorder="1" applyAlignment="1">
      <alignment vertical="center"/>
    </xf>
    <xf numFmtId="169" fontId="7" fillId="36" borderId="23" xfId="20" applyFont="1" applyBorder="1"/>
    <xf numFmtId="0" fontId="15" fillId="0" borderId="0" xfId="0" applyFont="1" applyAlignment="1">
      <alignment vertical="top"/>
    </xf>
    <xf numFmtId="0" fontId="15" fillId="0" borderId="0" xfId="0" applyFont="1" applyAlignment="1">
      <alignment vertical="top" wrapText="1"/>
    </xf>
    <xf numFmtId="0" fontId="120" fillId="0" borderId="129" xfId="21416" applyFont="1" applyBorder="1" applyAlignment="1" applyProtection="1">
      <alignment horizontal="center" vertical="center" wrapText="1"/>
      <protection locked="0"/>
    </xf>
    <xf numFmtId="3" fontId="120" fillId="3" borderId="129" xfId="1" applyNumberFormat="1" applyFont="1" applyFill="1" applyBorder="1" applyAlignment="1" applyProtection="1">
      <alignment horizontal="center" vertical="center" wrapText="1"/>
      <protection locked="0"/>
    </xf>
    <xf numFmtId="9" fontId="120" fillId="3" borderId="129" xfId="15" applyNumberFormat="1" applyFont="1" applyFill="1" applyBorder="1" applyAlignment="1" applyProtection="1">
      <alignment horizontal="center" vertical="center" wrapText="1"/>
      <protection locked="0"/>
    </xf>
    <xf numFmtId="0" fontId="120" fillId="3" borderId="129" xfId="21416" applyFont="1" applyFill="1" applyBorder="1" applyAlignment="1" applyProtection="1">
      <alignment horizontal="center" vertical="center" wrapText="1"/>
      <protection locked="0"/>
    </xf>
    <xf numFmtId="0" fontId="120" fillId="3" borderId="129" xfId="21416" applyFont="1" applyFill="1" applyBorder="1" applyAlignment="1" applyProtection="1">
      <alignment horizontal="left" vertical="center"/>
      <protection locked="0"/>
    </xf>
    <xf numFmtId="0" fontId="120" fillId="3" borderId="129" xfId="5" applyFont="1" applyFill="1" applyBorder="1" applyProtection="1">
      <protection locked="0"/>
    </xf>
    <xf numFmtId="0" fontId="120" fillId="0" borderId="129" xfId="21416" applyFont="1" applyBorder="1" applyAlignment="1" applyProtection="1">
      <alignment horizontal="left" vertical="center"/>
      <protection locked="0"/>
    </xf>
    <xf numFmtId="0" fontId="120" fillId="0" borderId="0" xfId="21415" applyFont="1" applyAlignment="1" applyProtection="1">
      <alignment vertical="center"/>
      <protection locked="0"/>
    </xf>
    <xf numFmtId="0" fontId="123" fillId="0" borderId="0" xfId="0" applyFont="1" applyAlignment="1">
      <alignment wrapText="1"/>
    </xf>
    <xf numFmtId="0" fontId="120" fillId="0" borderId="129" xfId="21416" applyFont="1" applyBorder="1" applyAlignment="1" applyProtection="1">
      <alignment horizontal="center" vertical="top" wrapText="1"/>
      <protection locked="0"/>
    </xf>
    <xf numFmtId="0" fontId="93" fillId="3" borderId="129" xfId="21416" applyFont="1" applyFill="1" applyBorder="1" applyAlignment="1" applyProtection="1">
      <alignment wrapText="1"/>
      <protection locked="0"/>
    </xf>
    <xf numFmtId="0" fontId="128" fillId="3" borderId="129" xfId="21416" applyFont="1" applyFill="1" applyBorder="1" applyAlignment="1" applyProtection="1">
      <alignment horizontal="right" wrapText="1"/>
      <protection locked="0"/>
    </xf>
    <xf numFmtId="165" fontId="8" fillId="76" borderId="84" xfId="948" applyNumberFormat="1" applyFont="1" applyFill="1" applyBorder="1" applyAlignment="1" applyProtection="1">
      <alignment horizontal="right" vertical="center"/>
      <protection locked="0"/>
    </xf>
    <xf numFmtId="0" fontId="15" fillId="3" borderId="78" xfId="0" applyFont="1" applyFill="1" applyBorder="1" applyAlignment="1">
      <alignment horizontal="center" vertical="center" wrapText="1"/>
    </xf>
    <xf numFmtId="165" fontId="15" fillId="0" borderId="85" xfId="7" applyNumberFormat="1" applyFont="1" applyBorder="1" applyAlignment="1">
      <alignment vertical="center"/>
    </xf>
    <xf numFmtId="165" fontId="15" fillId="0" borderId="85" xfId="7" applyNumberFormat="1" applyFont="1" applyFill="1" applyBorder="1" applyAlignment="1">
      <alignment vertical="center"/>
    </xf>
    <xf numFmtId="0" fontId="100" fillId="3" borderId="123" xfId="13" applyFont="1" applyFill="1" applyBorder="1" applyAlignment="1" applyProtection="1">
      <alignment horizontal="left" vertical="center" wrapText="1"/>
      <protection locked="0"/>
    </xf>
    <xf numFmtId="0" fontId="100" fillId="0" borderId="123" xfId="13" applyFont="1" applyBorder="1" applyAlignment="1" applyProtection="1">
      <alignment horizontal="left" vertical="center" wrapText="1"/>
      <protection locked="0"/>
    </xf>
    <xf numFmtId="0" fontId="131" fillId="0" borderId="123" xfId="13" applyFont="1" applyBorder="1" applyAlignment="1" applyProtection="1">
      <alignment horizontal="left" vertical="center" wrapText="1"/>
      <protection locked="0"/>
    </xf>
    <xf numFmtId="49" fontId="100" fillId="3" borderId="129" xfId="5" applyNumberFormat="1" applyFont="1" applyFill="1" applyBorder="1" applyAlignment="1" applyProtection="1">
      <alignment horizontal="right" vertical="center" wrapText="1"/>
      <protection locked="0"/>
    </xf>
    <xf numFmtId="49" fontId="100" fillId="0" borderId="129" xfId="5" applyNumberFormat="1" applyFont="1" applyBorder="1" applyAlignment="1" applyProtection="1">
      <alignment horizontal="right" vertical="center" wrapText="1"/>
      <protection locked="0"/>
    </xf>
    <xf numFmtId="49" fontId="103" fillId="0" borderId="129" xfId="5" applyNumberFormat="1" applyFont="1" applyBorder="1" applyAlignment="1" applyProtection="1">
      <alignment horizontal="right" vertical="center" wrapText="1"/>
      <protection locked="0"/>
    </xf>
    <xf numFmtId="0" fontId="15" fillId="0" borderId="3" xfId="0" applyFont="1" applyBorder="1" applyAlignment="1">
      <alignment vertical="center"/>
    </xf>
    <xf numFmtId="0" fontId="0" fillId="0" borderId="0" xfId="0" applyAlignment="1">
      <alignment vertical="center"/>
    </xf>
    <xf numFmtId="0" fontId="7" fillId="3" borderId="3" xfId="20960" applyFont="1" applyFill="1" applyBorder="1" applyAlignment="1">
      <alignment horizontal="right" vertical="center"/>
    </xf>
    <xf numFmtId="0" fontId="7" fillId="3" borderId="3" xfId="20960" applyFont="1" applyFill="1" applyBorder="1" applyAlignment="1">
      <alignment horizontal="left" vertical="center" wrapText="1"/>
    </xf>
    <xf numFmtId="0" fontId="120" fillId="0" borderId="3" xfId="0" applyFont="1" applyBorder="1" applyAlignment="1">
      <alignment vertical="center"/>
    </xf>
    <xf numFmtId="0" fontId="1" fillId="0" borderId="0" xfId="0" applyFont="1" applyAlignment="1">
      <alignment vertical="center"/>
    </xf>
    <xf numFmtId="0" fontId="7" fillId="0" borderId="3" xfId="20960" applyFont="1" applyBorder="1" applyAlignment="1">
      <alignment horizontal="left" vertical="center" wrapText="1"/>
    </xf>
    <xf numFmtId="0" fontId="7" fillId="3" borderId="2" xfId="20960" applyFont="1" applyFill="1" applyBorder="1" applyAlignment="1">
      <alignment horizontal="right" vertical="center"/>
    </xf>
    <xf numFmtId="0" fontId="7" fillId="0" borderId="2" xfId="20960" applyFont="1" applyBorder="1" applyAlignment="1">
      <alignment horizontal="left" vertical="center" wrapText="1"/>
    </xf>
    <xf numFmtId="0" fontId="94" fillId="0" borderId="0" xfId="0" applyFont="1" applyAlignment="1">
      <alignment vertical="center" wrapText="1"/>
    </xf>
    <xf numFmtId="0" fontId="7" fillId="3" borderId="85" xfId="20960" applyFont="1" applyFill="1" applyBorder="1" applyAlignment="1">
      <alignment vertical="center"/>
    </xf>
    <xf numFmtId="0" fontId="122" fillId="0" borderId="85" xfId="17" applyFont="1" applyFill="1" applyBorder="1" applyAlignment="1" applyProtection="1">
      <alignment vertical="center"/>
    </xf>
    <xf numFmtId="0" fontId="117" fillId="0" borderId="0" xfId="0" applyFont="1" applyAlignment="1">
      <alignment vertical="center"/>
    </xf>
    <xf numFmtId="0" fontId="15" fillId="0" borderId="129" xfId="0" applyFont="1" applyBorder="1" applyAlignment="1">
      <alignment vertical="center"/>
    </xf>
    <xf numFmtId="0" fontId="9" fillId="0" borderId="0" xfId="17" applyAlignment="1" applyProtection="1">
      <alignment vertical="center"/>
    </xf>
    <xf numFmtId="0" fontId="123" fillId="0" borderId="0" xfId="0" applyFont="1" applyAlignment="1">
      <alignment vertical="center"/>
    </xf>
    <xf numFmtId="0" fontId="9" fillId="0" borderId="3" xfId="17" applyBorder="1" applyAlignment="1" applyProtection="1">
      <alignment vertical="center"/>
    </xf>
    <xf numFmtId="0" fontId="7" fillId="0" borderId="0" xfId="11" applyFont="1" applyAlignment="1">
      <alignment vertical="center"/>
    </xf>
    <xf numFmtId="0" fontId="7" fillId="0" borderId="0" xfId="0" applyFont="1" applyAlignment="1">
      <alignment vertical="center"/>
    </xf>
    <xf numFmtId="0" fontId="8" fillId="0" borderId="0" xfId="11" applyFont="1" applyAlignment="1">
      <alignment vertical="center"/>
    </xf>
    <xf numFmtId="14" fontId="8" fillId="0" borderId="0" xfId="0" applyNumberFormat="1" applyFont="1" applyAlignment="1">
      <alignment horizontal="left" vertical="center"/>
    </xf>
    <xf numFmtId="0" fontId="8" fillId="0" borderId="0" xfId="7" applyNumberFormat="1" applyFont="1" applyAlignment="1">
      <alignment horizontal="left" vertical="center"/>
    </xf>
    <xf numFmtId="0" fontId="3" fillId="0" borderId="0" xfId="0" applyFont="1" applyAlignment="1">
      <alignment vertical="center"/>
    </xf>
    <xf numFmtId="0" fontId="132" fillId="0" borderId="129" xfId="0" applyFont="1" applyBorder="1" applyAlignment="1">
      <alignment horizontal="justify" vertical="center" wrapText="1"/>
    </xf>
    <xf numFmtId="165" fontId="15" fillId="0" borderId="123" xfId="7" applyNumberFormat="1" applyFont="1" applyBorder="1" applyAlignment="1">
      <alignment vertical="center"/>
    </xf>
    <xf numFmtId="165" fontId="15" fillId="35" borderId="123" xfId="7" applyNumberFormat="1" applyFont="1" applyFill="1" applyBorder="1" applyAlignment="1">
      <alignment vertical="center"/>
    </xf>
    <xf numFmtId="0" fontId="7" fillId="0" borderId="129" xfId="0" applyFont="1" applyBorder="1" applyAlignment="1">
      <alignment horizontal="left" vertical="center" wrapText="1"/>
    </xf>
    <xf numFmtId="0" fontId="8" fillId="0" borderId="129" xfId="0" applyFont="1" applyBorder="1" applyAlignment="1">
      <alignment horizontal="justify" vertical="center" wrapText="1"/>
    </xf>
    <xf numFmtId="0" fontId="132" fillId="3" borderId="129" xfId="0" applyFont="1" applyFill="1" applyBorder="1" applyAlignment="1">
      <alignment horizontal="justify" vertical="center" wrapText="1"/>
    </xf>
    <xf numFmtId="0" fontId="133" fillId="0" borderId="129" xfId="0" applyFont="1" applyBorder="1" applyAlignment="1">
      <alignment horizontal="left" vertical="center" wrapText="1"/>
    </xf>
    <xf numFmtId="0" fontId="132" fillId="0" borderId="129" xfId="21414" applyFont="1" applyBorder="1" applyAlignment="1">
      <alignment horizontal="justify" vertical="center" wrapText="1"/>
    </xf>
    <xf numFmtId="0" fontId="132" fillId="0" borderId="129" xfId="0" applyFont="1" applyBorder="1" applyAlignment="1">
      <alignment horizontal="left" vertical="center" wrapText="1"/>
    </xf>
    <xf numFmtId="0" fontId="8" fillId="0" borderId="129" xfId="0" applyFont="1" applyBorder="1" applyAlignment="1">
      <alignment vertical="center" wrapText="1"/>
    </xf>
    <xf numFmtId="0" fontId="132" fillId="0" borderId="129" xfId="0" applyFont="1" applyBorder="1" applyAlignment="1">
      <alignment vertical="center" wrapText="1"/>
    </xf>
    <xf numFmtId="0" fontId="132" fillId="0" borderId="129" xfId="21414" applyFont="1" applyBorder="1" applyAlignment="1">
      <alignment vertical="center" wrapText="1"/>
    </xf>
    <xf numFmtId="165" fontId="15" fillId="0" borderId="129" xfId="7" applyNumberFormat="1" applyFont="1" applyBorder="1" applyAlignment="1">
      <alignment vertical="center"/>
    </xf>
    <xf numFmtId="0" fontId="15" fillId="0" borderId="129" xfId="0" applyFont="1" applyBorder="1" applyAlignment="1">
      <alignment horizontal="center" vertical="center"/>
    </xf>
    <xf numFmtId="0" fontId="8" fillId="0" borderId="129" xfId="0" applyFont="1" applyBorder="1" applyAlignment="1">
      <alignment horizontal="center" vertical="center"/>
    </xf>
    <xf numFmtId="0" fontId="7" fillId="0" borderId="129" xfId="0" applyFont="1" applyBorder="1" applyAlignment="1">
      <alignment horizontal="center" vertical="center" wrapText="1"/>
    </xf>
    <xf numFmtId="165" fontId="15" fillId="35" borderId="129" xfId="7" applyNumberFormat="1" applyFont="1" applyFill="1" applyBorder="1" applyAlignment="1">
      <alignment vertical="center"/>
    </xf>
    <xf numFmtId="0" fontId="7" fillId="0" borderId="123" xfId="0" applyFont="1" applyBorder="1" applyAlignment="1">
      <alignment horizontal="center" vertical="center"/>
    </xf>
    <xf numFmtId="0" fontId="7" fillId="0" borderId="129" xfId="21414" applyFont="1" applyBorder="1" applyAlignment="1">
      <alignment horizontal="left" vertical="center" wrapText="1"/>
    </xf>
    <xf numFmtId="0" fontId="132" fillId="3" borderId="129" xfId="21414" applyFont="1" applyFill="1" applyBorder="1" applyAlignment="1">
      <alignment horizontal="left" vertical="center" wrapText="1"/>
    </xf>
    <xf numFmtId="0" fontId="7" fillId="3" borderId="129" xfId="21414" applyFont="1" applyFill="1" applyBorder="1" applyAlignment="1">
      <alignment horizontal="left" vertical="center" wrapText="1"/>
    </xf>
    <xf numFmtId="0" fontId="8" fillId="0" borderId="129" xfId="0" applyFont="1" applyBorder="1" applyAlignment="1">
      <alignment horizontal="left" vertical="center" wrapText="1"/>
    </xf>
    <xf numFmtId="0" fontId="133" fillId="3" borderId="129" xfId="0" applyFont="1" applyFill="1" applyBorder="1" applyAlignment="1">
      <alignment horizontal="left" vertical="center" wrapText="1"/>
    </xf>
    <xf numFmtId="0" fontId="132" fillId="3" borderId="129" xfId="0" applyFont="1" applyFill="1" applyBorder="1" applyAlignment="1">
      <alignment horizontal="left" vertical="center" wrapText="1"/>
    </xf>
    <xf numFmtId="0" fontId="133" fillId="0" borderId="129" xfId="21414" applyFont="1" applyBorder="1" applyAlignment="1">
      <alignment horizontal="left" vertical="center" wrapText="1"/>
    </xf>
    <xf numFmtId="0" fontId="132" fillId="0" borderId="129" xfId="21414" applyFont="1" applyBorder="1" applyAlignment="1">
      <alignment horizontal="left" vertical="center" wrapText="1"/>
    </xf>
    <xf numFmtId="0" fontId="132" fillId="0" borderId="85" xfId="21414" applyFont="1" applyBorder="1" applyAlignment="1">
      <alignment horizontal="center" vertical="center" wrapText="1"/>
    </xf>
    <xf numFmtId="0" fontId="7" fillId="3" borderId="129" xfId="0" applyFont="1" applyFill="1" applyBorder="1" applyAlignment="1">
      <alignment horizontal="left" vertical="center" wrapText="1"/>
    </xf>
    <xf numFmtId="0" fontId="132" fillId="0" borderId="129" xfId="21414" applyFont="1" applyBorder="1" applyAlignment="1">
      <alignment horizontal="center" vertical="center" wrapText="1"/>
    </xf>
    <xf numFmtId="0" fontId="134" fillId="0" borderId="129" xfId="0" applyFont="1" applyBorder="1" applyAlignment="1">
      <alignment horizontal="left" vertical="center"/>
    </xf>
    <xf numFmtId="0" fontId="15" fillId="0" borderId="0" xfId="0" applyFont="1" applyAlignment="1">
      <alignment horizontal="left" vertical="center"/>
    </xf>
    <xf numFmtId="165" fontId="135" fillId="0" borderId="0" xfId="0" applyNumberFormat="1" applyFont="1" applyAlignment="1">
      <alignment vertical="center"/>
    </xf>
    <xf numFmtId="0" fontId="7" fillId="0" borderId="129" xfId="0" applyFont="1" applyBorder="1" applyAlignment="1">
      <alignment horizontal="center" vertical="center"/>
    </xf>
    <xf numFmtId="0" fontId="8" fillId="3" borderId="129" xfId="21414" applyFont="1" applyFill="1" applyBorder="1" applyAlignment="1">
      <alignment horizontal="left" vertical="center" wrapText="1"/>
    </xf>
    <xf numFmtId="0" fontId="8" fillId="0" borderId="123" xfId="0" applyFont="1" applyBorder="1" applyAlignment="1">
      <alignment vertical="center" wrapText="1"/>
    </xf>
    <xf numFmtId="165" fontId="7" fillId="0" borderId="123" xfId="7" applyNumberFormat="1" applyFont="1" applyBorder="1" applyAlignment="1">
      <alignment horizontal="right" vertical="center"/>
    </xf>
    <xf numFmtId="165" fontId="7" fillId="35" borderId="123" xfId="7" applyNumberFormat="1" applyFont="1" applyFill="1" applyBorder="1" applyAlignment="1">
      <alignment horizontal="right" vertical="center"/>
    </xf>
    <xf numFmtId="165" fontId="7" fillId="35" borderId="100" xfId="7" applyNumberFormat="1" applyFont="1" applyFill="1" applyBorder="1" applyAlignment="1">
      <alignment horizontal="right" vertical="center"/>
    </xf>
    <xf numFmtId="0" fontId="7" fillId="0" borderId="123" xfId="0" applyFont="1" applyBorder="1" applyAlignment="1">
      <alignment horizontal="left" vertical="center" wrapText="1"/>
    </xf>
    <xf numFmtId="0" fontId="8" fillId="0" borderId="123" xfId="0" applyFont="1" applyBorder="1" applyAlignment="1">
      <alignment vertical="center"/>
    </xf>
    <xf numFmtId="0" fontId="7" fillId="0" borderId="123" xfId="0" applyFont="1" applyBorder="1" applyAlignment="1" applyProtection="1">
      <alignment horizontal="left" vertical="center"/>
      <protection locked="0"/>
    </xf>
    <xf numFmtId="0" fontId="12" fillId="0" borderId="123" xfId="0" applyFont="1" applyBorder="1" applyAlignment="1" applyProtection="1">
      <alignment horizontal="left" vertical="center"/>
      <protection locked="0"/>
    </xf>
    <xf numFmtId="165" fontId="7" fillId="0" borderId="129" xfId="7" applyNumberFormat="1" applyFont="1" applyBorder="1" applyAlignment="1">
      <alignment horizontal="right" vertical="center"/>
    </xf>
    <xf numFmtId="0" fontId="120" fillId="0" borderId="0" xfId="0" applyFont="1" applyAlignment="1">
      <alignment horizontal="center" vertical="center"/>
    </xf>
    <xf numFmtId="0" fontId="120" fillId="0" borderId="0" xfId="0" applyFont="1" applyAlignment="1">
      <alignment vertical="center"/>
    </xf>
    <xf numFmtId="193" fontId="7" fillId="0" borderId="0" xfId="0" applyNumberFormat="1" applyFont="1" applyAlignment="1">
      <alignment horizontal="right" vertical="center"/>
    </xf>
    <xf numFmtId="165" fontId="15" fillId="35" borderId="129" xfId="7" applyNumberFormat="1" applyFont="1" applyFill="1" applyBorder="1" applyAlignment="1">
      <alignment vertical="center" wrapText="1"/>
    </xf>
    <xf numFmtId="165" fontId="15" fillId="35" borderId="15" xfId="7" applyNumberFormat="1" applyFont="1" applyFill="1" applyBorder="1" applyAlignment="1">
      <alignment vertical="center" wrapText="1"/>
    </xf>
    <xf numFmtId="165" fontId="15" fillId="0" borderId="129" xfId="7" applyNumberFormat="1" applyFont="1" applyBorder="1" applyAlignment="1">
      <alignment vertical="center" wrapText="1"/>
    </xf>
    <xf numFmtId="165" fontId="15" fillId="0" borderId="15" xfId="7" applyNumberFormat="1" applyFont="1" applyBorder="1" applyAlignment="1">
      <alignment vertical="center" wrapText="1"/>
    </xf>
    <xf numFmtId="165" fontId="15" fillId="35" borderId="136" xfId="7" applyNumberFormat="1" applyFont="1" applyFill="1" applyBorder="1" applyAlignment="1">
      <alignment vertical="center" wrapText="1"/>
    </xf>
    <xf numFmtId="165" fontId="120" fillId="80" borderId="129" xfId="7" applyNumberFormat="1" applyFont="1" applyFill="1" applyBorder="1"/>
    <xf numFmtId="0" fontId="93" fillId="0" borderId="0" xfId="21415" applyFont="1" applyAlignment="1" applyProtection="1">
      <alignment vertical="center"/>
      <protection locked="0"/>
    </xf>
    <xf numFmtId="0" fontId="120" fillId="0" borderId="129" xfId="5" applyFont="1" applyBorder="1" applyAlignment="1" applyProtection="1">
      <alignment vertical="center" wrapText="1"/>
      <protection locked="0"/>
    </xf>
    <xf numFmtId="0" fontId="114" fillId="0" borderId="0" xfId="0" applyFont="1" applyAlignment="1">
      <alignment vertical="center"/>
    </xf>
    <xf numFmtId="0" fontId="10" fillId="0" borderId="0" xfId="0" applyFont="1" applyAlignment="1">
      <alignment vertical="center"/>
    </xf>
    <xf numFmtId="0" fontId="93" fillId="3" borderId="129" xfId="21416" applyFont="1" applyFill="1" applyBorder="1" applyAlignment="1" applyProtection="1">
      <alignment vertical="center"/>
      <protection locked="0"/>
    </xf>
    <xf numFmtId="3" fontId="120" fillId="80" borderId="129" xfId="5" applyNumberFormat="1" applyFont="1" applyFill="1" applyBorder="1" applyAlignment="1">
      <alignment vertical="center"/>
    </xf>
    <xf numFmtId="0" fontId="129" fillId="3" borderId="129" xfId="21416" applyFont="1" applyFill="1" applyBorder="1" applyAlignment="1" applyProtection="1">
      <alignment horizontal="right" vertical="center"/>
      <protection locked="0"/>
    </xf>
    <xf numFmtId="165" fontId="120" fillId="80" borderId="129" xfId="7" applyNumberFormat="1" applyFont="1" applyFill="1" applyBorder="1" applyAlignment="1">
      <alignment vertical="center"/>
    </xf>
    <xf numFmtId="194" fontId="120" fillId="80" borderId="129" xfId="5" applyNumberFormat="1" applyFont="1" applyFill="1" applyBorder="1" applyAlignment="1" applyProtection="1">
      <alignment vertical="center"/>
      <protection locked="0"/>
    </xf>
    <xf numFmtId="165" fontId="120" fillId="80" borderId="129" xfId="7" applyNumberFormat="1" applyFont="1" applyFill="1" applyBorder="1" applyAlignment="1" applyProtection="1">
      <alignment vertical="center"/>
    </xf>
    <xf numFmtId="165" fontId="120" fillId="3" borderId="129" xfId="7" applyNumberFormat="1" applyFont="1" applyFill="1" applyBorder="1" applyAlignment="1" applyProtection="1">
      <alignment vertical="center"/>
      <protection locked="0"/>
    </xf>
    <xf numFmtId="0" fontId="128" fillId="3" borderId="129" xfId="21416" applyFont="1" applyFill="1" applyBorder="1" applyAlignment="1" applyProtection="1">
      <alignment horizontal="right" vertical="center"/>
      <protection locked="0"/>
    </xf>
    <xf numFmtId="0" fontId="93" fillId="3" borderId="129" xfId="16" applyFont="1" applyFill="1" applyBorder="1" applyAlignment="1" applyProtection="1">
      <alignment vertical="center"/>
      <protection locked="0"/>
    </xf>
    <xf numFmtId="165" fontId="120" fillId="0" borderId="129" xfId="7" applyNumberFormat="1" applyFont="1" applyBorder="1"/>
    <xf numFmtId="165" fontId="15" fillId="0" borderId="86" xfId="7" applyNumberFormat="1" applyFont="1" applyBorder="1" applyAlignment="1">
      <alignment vertical="center"/>
    </xf>
    <xf numFmtId="165" fontId="15" fillId="0" borderId="100" xfId="7" applyNumberFormat="1" applyFont="1" applyBorder="1" applyAlignment="1">
      <alignment vertical="center"/>
    </xf>
    <xf numFmtId="165" fontId="15" fillId="3" borderId="83" xfId="7" applyNumberFormat="1" applyFont="1" applyFill="1" applyBorder="1" applyAlignment="1">
      <alignment vertical="center"/>
    </xf>
    <xf numFmtId="165" fontId="15" fillId="3" borderId="15" xfId="7" applyNumberFormat="1" applyFont="1" applyFill="1" applyBorder="1" applyAlignment="1">
      <alignment vertical="center"/>
    </xf>
    <xf numFmtId="165" fontId="14" fillId="0" borderId="85" xfId="7" applyNumberFormat="1" applyFont="1" applyBorder="1" applyAlignment="1">
      <alignment vertical="center"/>
    </xf>
    <xf numFmtId="165" fontId="14" fillId="0" borderId="86" xfId="7" applyNumberFormat="1" applyFont="1" applyBorder="1" applyAlignment="1">
      <alignment vertical="center"/>
    </xf>
    <xf numFmtId="165" fontId="14" fillId="0" borderId="138" xfId="7" applyNumberFormat="1" applyFont="1" applyBorder="1" applyAlignment="1">
      <alignment vertical="center"/>
    </xf>
    <xf numFmtId="165" fontId="14" fillId="0" borderId="17" xfId="7" applyNumberFormat="1" applyFont="1" applyBorder="1" applyAlignment="1">
      <alignment vertical="center"/>
    </xf>
    <xf numFmtId="165" fontId="14" fillId="0" borderId="19" xfId="7" applyNumberFormat="1" applyFont="1" applyBorder="1" applyAlignment="1">
      <alignment vertical="center"/>
    </xf>
    <xf numFmtId="165" fontId="14" fillId="0" borderId="18" xfId="7" applyNumberFormat="1" applyFont="1" applyBorder="1" applyAlignment="1">
      <alignment vertical="center"/>
    </xf>
    <xf numFmtId="165" fontId="14" fillId="0" borderId="20" xfId="7" applyNumberFormat="1" applyFont="1" applyBorder="1" applyAlignment="1">
      <alignment vertical="center"/>
    </xf>
    <xf numFmtId="165" fontId="14" fillId="0" borderId="12" xfId="7" applyNumberFormat="1" applyFont="1" applyBorder="1" applyAlignment="1">
      <alignment vertical="center"/>
    </xf>
    <xf numFmtId="165" fontId="14" fillId="0" borderId="81" xfId="7" applyNumberFormat="1" applyFont="1" applyBorder="1" applyAlignment="1">
      <alignment vertical="center"/>
    </xf>
    <xf numFmtId="165" fontId="14" fillId="0" borderId="94" xfId="7" applyNumberFormat="1" applyFont="1" applyBorder="1" applyAlignment="1">
      <alignment vertical="center"/>
    </xf>
    <xf numFmtId="14" fontId="15" fillId="0" borderId="0" xfId="0" applyNumberFormat="1" applyFont="1" applyAlignment="1">
      <alignment vertical="center"/>
    </xf>
    <xf numFmtId="0" fontId="14" fillId="0" borderId="0" xfId="0" applyFont="1" applyAlignment="1">
      <alignment horizontal="center" vertical="center" wrapText="1"/>
    </xf>
    <xf numFmtId="0" fontId="15" fillId="3" borderId="46" xfId="0" applyFont="1" applyFill="1" applyBorder="1" applyAlignment="1">
      <alignment vertical="center"/>
    </xf>
    <xf numFmtId="0" fontId="15" fillId="3" borderId="105" xfId="0" applyFont="1" applyFill="1" applyBorder="1" applyAlignment="1">
      <alignment vertical="center" wrapText="1"/>
    </xf>
    <xf numFmtId="0" fontId="15" fillId="3" borderId="106" xfId="0" applyFont="1" applyFill="1" applyBorder="1" applyAlignment="1">
      <alignment vertical="center"/>
    </xf>
    <xf numFmtId="0" fontId="14" fillId="3" borderId="9" xfId="0" applyFont="1" applyFill="1" applyBorder="1" applyAlignment="1">
      <alignment horizontal="center" vertical="center" wrapText="1"/>
    </xf>
    <xf numFmtId="0" fontId="15" fillId="0" borderId="85" xfId="0" applyFont="1" applyBorder="1" applyAlignment="1">
      <alignment horizontal="center" vertical="center"/>
    </xf>
    <xf numFmtId="0" fontId="15" fillId="3" borderId="49" xfId="0" applyFont="1" applyFill="1" applyBorder="1" applyAlignment="1">
      <alignment vertical="center"/>
    </xf>
    <xf numFmtId="0" fontId="14" fillId="3" borderId="0" xfId="0" applyFont="1" applyFill="1" applyAlignment="1">
      <alignment horizontal="center" vertical="center" wrapText="1"/>
    </xf>
    <xf numFmtId="0" fontId="15" fillId="3" borderId="0" xfId="0" applyFont="1" applyFill="1" applyAlignment="1">
      <alignment horizontal="center" vertical="center"/>
    </xf>
    <xf numFmtId="0" fontId="15" fillId="0" borderId="102" xfId="0" applyFont="1" applyBorder="1" applyAlignment="1">
      <alignment vertical="center"/>
    </xf>
    <xf numFmtId="0" fontId="13" fillId="0" borderId="85" xfId="0" applyFont="1" applyBorder="1" applyAlignment="1">
      <alignment horizontal="left" vertical="center" wrapText="1"/>
    </xf>
    <xf numFmtId="0" fontId="14" fillId="0" borderId="102" xfId="0" applyFont="1" applyBorder="1" applyAlignment="1">
      <alignment vertical="center"/>
    </xf>
    <xf numFmtId="0" fontId="14" fillId="0" borderId="85" xfId="0" applyFont="1" applyBorder="1" applyAlignment="1">
      <alignment vertical="center" wrapText="1"/>
    </xf>
    <xf numFmtId="0" fontId="130" fillId="3" borderId="49" xfId="0" applyFont="1" applyFill="1" applyBorder="1" applyAlignment="1">
      <alignment horizontal="left" vertical="center"/>
    </xf>
    <xf numFmtId="0" fontId="14" fillId="3" borderId="0" xfId="0" applyFont="1" applyFill="1" applyAlignment="1">
      <alignment horizontal="center" vertical="center"/>
    </xf>
    <xf numFmtId="0" fontId="15" fillId="3" borderId="0" xfId="0" applyFont="1" applyFill="1" applyAlignment="1">
      <alignment vertical="center" wrapText="1"/>
    </xf>
    <xf numFmtId="0" fontId="15" fillId="3" borderId="78" xfId="0" applyFont="1" applyFill="1" applyBorder="1" applyAlignment="1">
      <alignment vertical="center"/>
    </xf>
    <xf numFmtId="0" fontId="14" fillId="0" borderId="16" xfId="0" applyFont="1" applyBorder="1" applyAlignment="1">
      <alignment vertical="center"/>
    </xf>
    <xf numFmtId="169" fontId="7" fillId="36" borderId="19" xfId="20" applyFont="1" applyBorder="1" applyAlignment="1">
      <alignment vertical="center"/>
    </xf>
    <xf numFmtId="169" fontId="7" fillId="36" borderId="97" xfId="20" applyFont="1" applyBorder="1" applyAlignment="1">
      <alignment vertical="center"/>
    </xf>
    <xf numFmtId="169" fontId="7" fillId="36" borderId="103" xfId="20" applyFont="1" applyBorder="1" applyAlignment="1">
      <alignment vertical="center"/>
    </xf>
    <xf numFmtId="10" fontId="14" fillId="0" borderId="18" xfId="20961" applyNumberFormat="1" applyFont="1" applyBorder="1" applyAlignment="1">
      <alignment vertical="center"/>
    </xf>
    <xf numFmtId="165" fontId="15" fillId="0" borderId="3" xfId="7" applyNumberFormat="1" applyFont="1" applyBorder="1"/>
    <xf numFmtId="165" fontId="15" fillId="0" borderId="6" xfId="7" applyNumberFormat="1" applyFont="1" applyBorder="1"/>
    <xf numFmtId="165" fontId="15" fillId="0" borderId="14" xfId="7" applyNumberFormat="1" applyFont="1" applyBorder="1"/>
    <xf numFmtId="0" fontId="14" fillId="0" borderId="0" xfId="0" applyFont="1" applyAlignment="1">
      <alignment horizontal="center" vertical="center"/>
    </xf>
    <xf numFmtId="0" fontId="14" fillId="35" borderId="3" xfId="0" applyFont="1" applyFill="1" applyBorder="1" applyAlignment="1">
      <alignment horizontal="left" vertical="center" wrapText="1"/>
    </xf>
    <xf numFmtId="165" fontId="7" fillId="3" borderId="14" xfId="7" applyNumberFormat="1" applyFont="1" applyFill="1" applyBorder="1" applyAlignment="1" applyProtection="1">
      <alignment vertical="center"/>
      <protection locked="0"/>
    </xf>
    <xf numFmtId="0" fontId="0" fillId="0" borderId="0" xfId="0" applyAlignment="1">
      <alignment vertical="center" wrapText="1"/>
    </xf>
    <xf numFmtId="0" fontId="7" fillId="0" borderId="0" xfId="13" applyFont="1" applyAlignment="1" applyProtection="1">
      <alignment vertical="center" wrapText="1"/>
      <protection locked="0"/>
    </xf>
    <xf numFmtId="0" fontId="7" fillId="0" borderId="129" xfId="13" applyFont="1" applyBorder="1" applyAlignment="1" applyProtection="1">
      <alignment vertical="center" wrapText="1"/>
      <protection locked="0"/>
    </xf>
    <xf numFmtId="165" fontId="7" fillId="80" borderId="14" xfId="7" applyNumberFormat="1" applyFont="1" applyFill="1" applyBorder="1" applyAlignment="1" applyProtection="1">
      <alignment vertical="center" wrapText="1"/>
      <protection locked="0"/>
    </xf>
    <xf numFmtId="1" fontId="8" fillId="35" borderId="3" xfId="2" applyNumberFormat="1" applyFont="1" applyFill="1" applyBorder="1" applyAlignment="1" applyProtection="1">
      <alignment horizontal="left" vertical="center" wrapText="1"/>
    </xf>
    <xf numFmtId="165" fontId="7" fillId="3" borderId="14" xfId="7" applyNumberFormat="1" applyFont="1" applyFill="1" applyBorder="1" applyAlignment="1" applyProtection="1">
      <alignment vertical="center" wrapText="1"/>
      <protection locked="0"/>
    </xf>
    <xf numFmtId="165" fontId="7" fillId="35" borderId="14" xfId="7" applyNumberFormat="1" applyFont="1" applyFill="1" applyBorder="1" applyAlignment="1" applyProtection="1">
      <alignment vertical="center" wrapText="1"/>
      <protection locked="0"/>
    </xf>
    <xf numFmtId="165" fontId="8" fillId="35" borderId="14" xfId="7" applyNumberFormat="1" applyFont="1" applyFill="1" applyBorder="1" applyAlignment="1" applyProtection="1">
      <alignment vertical="center"/>
    </xf>
    <xf numFmtId="165" fontId="8" fillId="35" borderId="14" xfId="7" applyNumberFormat="1" applyFont="1" applyFill="1" applyBorder="1" applyAlignment="1" applyProtection="1">
      <alignment vertical="center" wrapText="1"/>
    </xf>
    <xf numFmtId="165" fontId="8" fillId="35" borderId="18" xfId="7" applyNumberFormat="1" applyFont="1" applyFill="1" applyBorder="1" applyAlignment="1" applyProtection="1">
      <alignment vertical="center" wrapText="1"/>
    </xf>
    <xf numFmtId="10" fontId="7" fillId="0" borderId="85" xfId="20961" applyNumberFormat="1" applyFont="1" applyFill="1" applyBorder="1" applyAlignment="1">
      <alignment horizontal="center" vertical="center" wrapText="1"/>
    </xf>
    <xf numFmtId="10" fontId="15" fillId="0" borderId="85" xfId="20961" applyNumberFormat="1" applyFont="1" applyFill="1" applyBorder="1" applyAlignment="1">
      <alignment horizontal="center" vertical="center" wrapText="1"/>
    </xf>
    <xf numFmtId="10" fontId="7" fillId="0" borderId="17" xfId="20961" applyNumberFormat="1" applyFont="1" applyFill="1" applyBorder="1" applyAlignment="1" applyProtection="1">
      <alignment horizontal="center" vertical="center"/>
    </xf>
    <xf numFmtId="49" fontId="15" fillId="0" borderId="102" xfId="0" applyNumberFormat="1" applyFont="1" applyBorder="1" applyAlignment="1">
      <alignment horizontal="center" vertical="center" wrapText="1"/>
    </xf>
    <xf numFmtId="165" fontId="15" fillId="0" borderId="100" xfId="7" applyNumberFormat="1" applyFont="1" applyBorder="1" applyAlignment="1">
      <alignment horizontal="right" vertical="center" wrapText="1"/>
    </xf>
    <xf numFmtId="0" fontId="14" fillId="0" borderId="123" xfId="0" applyFont="1" applyBorder="1" applyAlignment="1">
      <alignment horizontal="center" vertical="center" wrapText="1"/>
    </xf>
    <xf numFmtId="49" fontId="7" fillId="3" borderId="123" xfId="5" applyNumberFormat="1" applyFont="1" applyFill="1" applyBorder="1" applyAlignment="1" applyProtection="1">
      <alignment horizontal="right" vertical="center"/>
      <protection locked="0"/>
    </xf>
    <xf numFmtId="0" fontId="7" fillId="3" borderId="123" xfId="13" applyFont="1" applyFill="1" applyBorder="1" applyAlignment="1" applyProtection="1">
      <alignment horizontal="left" vertical="center" wrapText="1"/>
      <protection locked="0"/>
    </xf>
    <xf numFmtId="0" fontId="7" fillId="0" borderId="123" xfId="13" applyFont="1" applyBorder="1" applyAlignment="1" applyProtection="1">
      <alignment horizontal="left" vertical="center" wrapText="1"/>
      <protection locked="0"/>
    </xf>
    <xf numFmtId="0" fontId="12" fillId="0" borderId="123" xfId="13" applyFont="1" applyBorder="1" applyAlignment="1" applyProtection="1">
      <alignment horizontal="left" vertical="center" wrapText="1"/>
      <protection locked="0"/>
    </xf>
    <xf numFmtId="49" fontId="7" fillId="0" borderId="123" xfId="5" applyNumberFormat="1" applyFont="1" applyBorder="1" applyAlignment="1" applyProtection="1">
      <alignment horizontal="right" vertical="center"/>
      <protection locked="0"/>
    </xf>
    <xf numFmtId="49" fontId="8" fillId="0" borderId="123" xfId="5" applyNumberFormat="1" applyFont="1" applyBorder="1" applyAlignment="1" applyProtection="1">
      <alignment horizontal="right" vertical="center"/>
      <protection locked="0"/>
    </xf>
    <xf numFmtId="165" fontId="100" fillId="0" borderId="129" xfId="7" applyNumberFormat="1" applyFont="1" applyBorder="1"/>
    <xf numFmtId="165" fontId="103" fillId="0" borderId="129" xfId="7" applyNumberFormat="1" applyFont="1" applyBorder="1"/>
    <xf numFmtId="165" fontId="104" fillId="0" borderId="129" xfId="7" applyNumberFormat="1" applyFont="1" applyBorder="1" applyAlignment="1">
      <alignment horizontal="center" vertical="center" wrapText="1"/>
    </xf>
    <xf numFmtId="165" fontId="101" fillId="0" borderId="129" xfId="7" applyNumberFormat="1" applyFont="1" applyBorder="1"/>
    <xf numFmtId="165" fontId="104" fillId="0" borderId="129" xfId="7" applyNumberFormat="1" applyFont="1" applyBorder="1"/>
    <xf numFmtId="0" fontId="7" fillId="0" borderId="5" xfId="0" applyFont="1" applyBorder="1" applyAlignment="1">
      <alignment horizontal="center" vertical="center" wrapText="1"/>
    </xf>
    <xf numFmtId="165" fontId="14" fillId="35" borderId="17" xfId="7" applyNumberFormat="1" applyFont="1" applyFill="1" applyBorder="1"/>
    <xf numFmtId="9" fontId="14" fillId="35" borderId="18" xfId="20961" applyFont="1" applyFill="1" applyBorder="1"/>
    <xf numFmtId="0" fontId="8" fillId="3" borderId="16" xfId="9" applyFont="1" applyFill="1" applyBorder="1" applyAlignment="1" applyProtection="1">
      <alignment horizontal="left" vertical="center"/>
      <protection locked="0"/>
    </xf>
    <xf numFmtId="165" fontId="14" fillId="35" borderId="18" xfId="7" applyNumberFormat="1" applyFont="1" applyFill="1" applyBorder="1"/>
    <xf numFmtId="0" fontId="138" fillId="0" borderId="0" xfId="0" applyFont="1"/>
    <xf numFmtId="0" fontId="15" fillId="0" borderId="10" xfId="0" applyFont="1" applyBorder="1" applyAlignment="1">
      <alignment vertical="center" wrapText="1"/>
    </xf>
    <xf numFmtId="0" fontId="14" fillId="0" borderId="11" xfId="0" applyFont="1" applyBorder="1" applyAlignment="1">
      <alignment vertical="center" wrapText="1"/>
    </xf>
    <xf numFmtId="0" fontId="15" fillId="0" borderId="139" xfId="0" applyFont="1" applyBorder="1" applyAlignment="1">
      <alignment horizontal="center" vertical="center" wrapText="1"/>
    </xf>
    <xf numFmtId="0" fontId="15" fillId="0" borderId="129" xfId="0" applyFont="1" applyBorder="1" applyAlignment="1">
      <alignment vertical="center" wrapText="1"/>
    </xf>
    <xf numFmtId="0" fontId="15" fillId="0" borderId="137" xfId="0" applyFont="1" applyBorder="1" applyAlignment="1">
      <alignment horizontal="center" vertical="center" wrapText="1"/>
    </xf>
    <xf numFmtId="0" fontId="14" fillId="0" borderId="136" xfId="0" applyFont="1" applyBorder="1" applyAlignment="1">
      <alignment vertical="center" wrapText="1"/>
    </xf>
    <xf numFmtId="0" fontId="15" fillId="0" borderId="1" xfId="0" applyFont="1" applyBorder="1" applyAlignment="1">
      <alignment vertical="center"/>
    </xf>
    <xf numFmtId="0" fontId="14" fillId="0" borderId="1" xfId="0" applyFont="1" applyBorder="1" applyAlignment="1">
      <alignment horizontal="center" vertical="center"/>
    </xf>
    <xf numFmtId="0" fontId="12" fillId="0" borderId="1"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14" fontId="7" fillId="3" borderId="129" xfId="8" quotePrefix="1" applyNumberFormat="1" applyFont="1" applyFill="1" applyBorder="1" applyAlignment="1" applyProtection="1">
      <alignment horizontal="left" vertical="center" wrapText="1"/>
      <protection locked="0"/>
    </xf>
    <xf numFmtId="0" fontId="15" fillId="0" borderId="129" xfId="0" applyFont="1" applyBorder="1" applyAlignment="1">
      <alignment horizontal="left" vertical="center" wrapText="1"/>
    </xf>
    <xf numFmtId="165" fontId="103" fillId="0" borderId="129" xfId="7" applyNumberFormat="1" applyFont="1" applyBorder="1" applyAlignment="1"/>
    <xf numFmtId="165" fontId="100" fillId="0" borderId="129" xfId="7" applyNumberFormat="1" applyFont="1" applyBorder="1" applyAlignment="1"/>
    <xf numFmtId="0" fontId="100" fillId="0" borderId="0" xfId="0" applyFont="1" applyAlignment="1">
      <alignment vertical="center"/>
    </xf>
    <xf numFmtId="0" fontId="102" fillId="0" borderId="0" xfId="11" applyFont="1" applyAlignment="1">
      <alignment vertical="center"/>
    </xf>
    <xf numFmtId="0" fontId="100" fillId="0" borderId="5" xfId="0" applyFont="1" applyBorder="1" applyAlignment="1">
      <alignment vertical="center" wrapText="1"/>
    </xf>
    <xf numFmtId="0" fontId="100" fillId="0" borderId="45" xfId="0" applyFont="1" applyBorder="1" applyAlignment="1">
      <alignment vertical="center" wrapText="1"/>
    </xf>
    <xf numFmtId="0" fontId="103" fillId="0" borderId="129" xfId="0" applyFont="1" applyBorder="1" applyAlignment="1">
      <alignment vertical="center"/>
    </xf>
    <xf numFmtId="165" fontId="103" fillId="0" borderId="129" xfId="7" applyNumberFormat="1" applyFont="1" applyBorder="1" applyAlignment="1">
      <alignment vertical="center"/>
    </xf>
    <xf numFmtId="0" fontId="100" fillId="0" borderId="129" xfId="0" applyFont="1" applyBorder="1" applyAlignment="1">
      <alignment vertical="center"/>
    </xf>
    <xf numFmtId="0" fontId="100" fillId="0" borderId="129" xfId="0" applyFont="1" applyBorder="1" applyAlignment="1">
      <alignment horizontal="left" vertical="center"/>
    </xf>
    <xf numFmtId="165" fontId="100" fillId="0" borderId="129" xfId="7" applyNumberFormat="1" applyFont="1" applyBorder="1" applyAlignment="1">
      <alignment horizontal="left" vertical="center"/>
    </xf>
    <xf numFmtId="165" fontId="100" fillId="0" borderId="129" xfId="7" applyNumberFormat="1" applyFont="1" applyBorder="1" applyAlignment="1">
      <alignment vertical="center"/>
    </xf>
    <xf numFmtId="165" fontId="100" fillId="80" borderId="129" xfId="7" applyNumberFormat="1" applyFont="1" applyFill="1" applyBorder="1" applyAlignment="1">
      <alignment vertical="center"/>
    </xf>
    <xf numFmtId="165" fontId="103" fillId="0" borderId="0" xfId="7" applyNumberFormat="1" applyFont="1" applyAlignment="1">
      <alignment vertical="center"/>
    </xf>
    <xf numFmtId="165" fontId="100" fillId="0" borderId="0" xfId="0" applyNumberFormat="1" applyFont="1" applyAlignment="1">
      <alignment vertical="center"/>
    </xf>
    <xf numFmtId="0" fontId="101" fillId="0" borderId="0" xfId="0" applyFont="1" applyAlignment="1">
      <alignment vertical="center"/>
    </xf>
    <xf numFmtId="165" fontId="100" fillId="35" borderId="129" xfId="7" applyNumberFormat="1" applyFont="1" applyFill="1" applyBorder="1" applyAlignment="1">
      <alignment vertical="center"/>
    </xf>
    <xf numFmtId="0" fontId="104" fillId="0" borderId="0" xfId="0" applyFont="1" applyAlignment="1">
      <alignment vertical="center"/>
    </xf>
    <xf numFmtId="0" fontId="100" fillId="0" borderId="129" xfId="0" applyFont="1" applyBorder="1" applyAlignment="1">
      <alignment vertical="center" wrapText="1"/>
    </xf>
    <xf numFmtId="0" fontId="101" fillId="0" borderId="0" xfId="0" applyFont="1" applyAlignment="1">
      <alignment vertical="center" wrapText="1"/>
    </xf>
    <xf numFmtId="165" fontId="104" fillId="0" borderId="0" xfId="7" applyNumberFormat="1" applyFont="1" applyAlignment="1">
      <alignment vertical="center"/>
    </xf>
    <xf numFmtId="0" fontId="101" fillId="0" borderId="0" xfId="0" applyFont="1" applyAlignment="1">
      <alignment horizontal="left" vertical="center" wrapText="1"/>
    </xf>
    <xf numFmtId="0" fontId="101" fillId="0" borderId="0" xfId="0" applyFont="1" applyAlignment="1">
      <alignment horizontal="left" vertical="center"/>
    </xf>
    <xf numFmtId="165" fontId="100" fillId="0" borderId="129" xfId="7" applyNumberFormat="1" applyFont="1" applyBorder="1" applyAlignment="1">
      <alignment horizontal="center" vertical="center"/>
    </xf>
    <xf numFmtId="165" fontId="100" fillId="0" borderId="129" xfId="0" applyNumberFormat="1" applyFont="1" applyBorder="1" applyAlignment="1">
      <alignment horizontal="left" vertical="center"/>
    </xf>
    <xf numFmtId="165" fontId="103" fillId="0" borderId="129" xfId="0" applyNumberFormat="1" applyFont="1" applyBorder="1" applyAlignment="1">
      <alignment horizontal="left" vertical="center"/>
    </xf>
    <xf numFmtId="165" fontId="103" fillId="0" borderId="129" xfId="7" applyNumberFormat="1" applyFont="1" applyBorder="1" applyAlignment="1">
      <alignment horizontal="center" vertical="center"/>
    </xf>
    <xf numFmtId="0" fontId="103" fillId="0" borderId="0" xfId="0" applyFont="1"/>
    <xf numFmtId="0" fontId="112" fillId="0" borderId="0" xfId="0" applyFont="1" applyAlignment="1">
      <alignment vertical="center"/>
    </xf>
    <xf numFmtId="0" fontId="112" fillId="0" borderId="5" xfId="0" applyFont="1" applyBorder="1" applyAlignment="1">
      <alignment vertical="center"/>
    </xf>
    <xf numFmtId="0" fontId="105" fillId="0" borderId="129" xfId="0" applyFont="1" applyBorder="1" applyAlignment="1">
      <alignment horizontal="left" vertical="center"/>
    </xf>
    <xf numFmtId="165" fontId="105" fillId="0" borderId="129" xfId="7" applyNumberFormat="1" applyFont="1" applyBorder="1" applyAlignment="1">
      <alignment vertical="center"/>
    </xf>
    <xf numFmtId="0" fontId="100" fillId="0" borderId="121" xfId="0" applyFont="1" applyBorder="1" applyAlignment="1">
      <alignment horizontal="left" vertical="center" wrapText="1" readingOrder="1"/>
    </xf>
    <xf numFmtId="0" fontId="105" fillId="0" borderId="0" xfId="0" applyFont="1" applyAlignment="1">
      <alignment vertical="center"/>
    </xf>
    <xf numFmtId="0" fontId="108" fillId="0" borderId="0" xfId="0" applyFont="1" applyAlignment="1">
      <alignment vertical="center"/>
    </xf>
    <xf numFmtId="165" fontId="140" fillId="0" borderId="0" xfId="7" applyNumberFormat="1" applyFont="1" applyAlignment="1">
      <alignment vertical="center"/>
    </xf>
    <xf numFmtId="0" fontId="7" fillId="0" borderId="0" xfId="0" applyFont="1" applyAlignment="1">
      <alignment vertical="center" wrapText="1"/>
    </xf>
    <xf numFmtId="0" fontId="136" fillId="0" borderId="0" xfId="11" applyFont="1" applyAlignment="1">
      <alignment vertical="center"/>
    </xf>
    <xf numFmtId="14" fontId="7" fillId="0" borderId="0" xfId="0" applyNumberFormat="1" applyFont="1" applyAlignment="1">
      <alignment vertical="center"/>
    </xf>
    <xf numFmtId="0" fontId="7" fillId="0" borderId="5" xfId="0" applyFont="1" applyBorder="1" applyAlignment="1">
      <alignment vertical="center" wrapText="1"/>
    </xf>
    <xf numFmtId="0" fontId="7" fillId="0" borderId="55" xfId="0" applyFont="1" applyBorder="1" applyAlignment="1">
      <alignment vertical="center"/>
    </xf>
    <xf numFmtId="0" fontId="8" fillId="0" borderId="50" xfId="0" applyFont="1" applyBorder="1" applyAlignment="1">
      <alignment vertical="center"/>
    </xf>
    <xf numFmtId="165" fontId="7" fillId="0" borderId="129" xfId="7" applyNumberFormat="1" applyFont="1" applyBorder="1" applyAlignment="1">
      <alignment vertical="center"/>
    </xf>
    <xf numFmtId="165" fontId="7" fillId="0" borderId="138" xfId="7" applyNumberFormat="1" applyFont="1" applyBorder="1" applyAlignment="1">
      <alignment vertical="center"/>
    </xf>
    <xf numFmtId="0" fontId="7" fillId="0" borderId="139" xfId="0" applyFont="1" applyBorder="1" applyAlignment="1">
      <alignment horizontal="left" vertical="center"/>
    </xf>
    <xf numFmtId="0" fontId="7" fillId="0" borderId="138" xfId="0" applyFont="1" applyBorder="1" applyAlignment="1">
      <alignment horizontal="left" vertical="center"/>
    </xf>
    <xf numFmtId="165" fontId="7" fillId="0" borderId="139" xfId="7" applyNumberFormat="1" applyFont="1" applyBorder="1" applyAlignment="1">
      <alignment horizontal="left" vertical="center"/>
    </xf>
    <xf numFmtId="49" fontId="7" fillId="0" borderId="139" xfId="0" applyNumberFormat="1" applyFont="1" applyBorder="1" applyAlignment="1">
      <alignment horizontal="left" vertical="center"/>
    </xf>
    <xf numFmtId="49" fontId="7" fillId="0" borderId="138" xfId="0" applyNumberFormat="1" applyFont="1" applyBorder="1" applyAlignment="1">
      <alignment horizontal="left" vertical="center"/>
    </xf>
    <xf numFmtId="165" fontId="7" fillId="79" borderId="139" xfId="7" applyNumberFormat="1" applyFont="1" applyFill="1" applyBorder="1" applyAlignment="1">
      <alignment vertical="center"/>
    </xf>
    <xf numFmtId="165" fontId="7" fillId="79" borderId="129" xfId="7" applyNumberFormat="1" applyFont="1" applyFill="1" applyBorder="1" applyAlignment="1">
      <alignment vertical="center"/>
    </xf>
    <xf numFmtId="165" fontId="7" fillId="79" borderId="138" xfId="7" applyNumberFormat="1" applyFont="1" applyFill="1" applyBorder="1" applyAlignment="1">
      <alignment vertical="center"/>
    </xf>
    <xf numFmtId="49" fontId="7" fillId="0" borderId="139" xfId="0" applyNumberFormat="1" applyFont="1" applyBorder="1" applyAlignment="1">
      <alignment horizontal="left" vertical="center" wrapText="1"/>
    </xf>
    <xf numFmtId="165" fontId="7" fillId="0" borderId="139" xfId="7" applyNumberFormat="1" applyFont="1" applyBorder="1" applyAlignment="1">
      <alignment horizontal="left" vertical="center" wrapText="1"/>
    </xf>
    <xf numFmtId="0" fontId="7" fillId="0" borderId="139" xfId="0" applyFont="1" applyBorder="1" applyAlignment="1">
      <alignment horizontal="left" vertical="center" wrapText="1"/>
    </xf>
    <xf numFmtId="0" fontId="7" fillId="0" borderId="137" xfId="0" applyFont="1" applyBorder="1" applyAlignment="1">
      <alignment horizontal="left" vertical="center" wrapText="1"/>
    </xf>
    <xf numFmtId="165" fontId="7" fillId="0" borderId="137" xfId="7" applyNumberFormat="1" applyFont="1" applyBorder="1" applyAlignment="1">
      <alignment horizontal="left" vertical="center" wrapText="1"/>
    </xf>
    <xf numFmtId="165" fontId="7" fillId="0" borderId="136" xfId="7" applyNumberFormat="1" applyFont="1" applyBorder="1" applyAlignment="1">
      <alignment vertical="center"/>
    </xf>
    <xf numFmtId="165" fontId="7" fillId="0" borderId="135" xfId="7" applyNumberFormat="1" applyFont="1" applyBorder="1" applyAlignment="1">
      <alignment vertical="center"/>
    </xf>
    <xf numFmtId="0" fontId="7" fillId="0" borderId="145"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12" xfId="0" applyFont="1" applyBorder="1" applyAlignment="1">
      <alignment vertical="center" wrapText="1"/>
    </xf>
    <xf numFmtId="0" fontId="8" fillId="0" borderId="12" xfId="0"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right" vertical="center" wrapText="1"/>
    </xf>
    <xf numFmtId="0" fontId="7" fillId="0" borderId="10" xfId="0" applyFont="1" applyBorder="1" applyAlignment="1">
      <alignment vertical="center"/>
    </xf>
    <xf numFmtId="0" fontId="8" fillId="0" borderId="20" xfId="0" applyFont="1" applyBorder="1" applyAlignment="1">
      <alignment horizontal="center" vertical="center" wrapText="1"/>
    </xf>
    <xf numFmtId="0" fontId="7" fillId="0" borderId="6" xfId="0" applyFont="1" applyBorder="1" applyAlignment="1">
      <alignment vertical="center" wrapText="1"/>
    </xf>
    <xf numFmtId="0" fontId="15" fillId="0" borderId="100" xfId="0" applyFont="1" applyBorder="1" applyAlignment="1">
      <alignment vertical="center"/>
    </xf>
    <xf numFmtId="0" fontId="7" fillId="0" borderId="100" xfId="0" applyFont="1" applyBorder="1" applyAlignment="1">
      <alignment vertical="center" wrapText="1"/>
    </xf>
    <xf numFmtId="0" fontId="7" fillId="0" borderId="15" xfId="0" applyFont="1" applyBorder="1" applyAlignment="1">
      <alignment vertical="center" wrapText="1"/>
    </xf>
    <xf numFmtId="0" fontId="15" fillId="0" borderId="15" xfId="0" applyFont="1" applyBorder="1" applyAlignment="1">
      <alignment vertical="center"/>
    </xf>
    <xf numFmtId="0" fontId="7" fillId="0" borderId="132" xfId="0" applyFont="1" applyBorder="1" applyAlignment="1">
      <alignment vertical="center" wrapText="1"/>
    </xf>
    <xf numFmtId="0" fontId="7" fillId="0" borderId="16" xfId="0" applyFont="1" applyBorder="1" applyAlignment="1">
      <alignment vertical="center"/>
    </xf>
    <xf numFmtId="0" fontId="7" fillId="0" borderId="19" xfId="0" applyFont="1" applyBorder="1" applyAlignment="1">
      <alignment vertical="center" wrapText="1"/>
    </xf>
    <xf numFmtId="0" fontId="15" fillId="0" borderId="18" xfId="0" applyFont="1" applyBorder="1" applyAlignment="1">
      <alignment vertical="center"/>
    </xf>
    <xf numFmtId="10" fontId="15" fillId="0" borderId="100" xfId="20961" applyNumberFormat="1" applyFont="1" applyBorder="1" applyAlignment="1">
      <alignment horizontal="left" vertical="center"/>
    </xf>
    <xf numFmtId="10" fontId="15" fillId="0" borderId="148" xfId="20961" applyNumberFormat="1" applyFont="1" applyBorder="1" applyAlignment="1">
      <alignment horizontal="left" vertical="center"/>
    </xf>
    <xf numFmtId="165" fontId="15" fillId="0" borderId="13" xfId="7" applyNumberFormat="1" applyFont="1" applyBorder="1"/>
    <xf numFmtId="165" fontId="15" fillId="0" borderId="15" xfId="7" applyNumberFormat="1" applyFont="1" applyBorder="1" applyAlignment="1">
      <alignment wrapText="1"/>
    </xf>
    <xf numFmtId="165" fontId="15" fillId="0" borderId="15" xfId="7" applyNumberFormat="1" applyFont="1" applyBorder="1"/>
    <xf numFmtId="165" fontId="15" fillId="35" borderId="43" xfId="7" applyNumberFormat="1" applyFont="1" applyFill="1" applyBorder="1"/>
    <xf numFmtId="165" fontId="15" fillId="35" borderId="16" xfId="7" applyNumberFormat="1" applyFont="1" applyFill="1" applyBorder="1"/>
    <xf numFmtId="165" fontId="15" fillId="35" borderId="17" xfId="7" applyNumberFormat="1" applyFont="1" applyFill="1" applyBorder="1"/>
    <xf numFmtId="165" fontId="15" fillId="35" borderId="18" xfId="7" applyNumberFormat="1" applyFont="1" applyFill="1" applyBorder="1"/>
    <xf numFmtId="165" fontId="15" fillId="35" borderId="44" xfId="7" applyNumberFormat="1" applyFont="1" applyFill="1" applyBorder="1"/>
    <xf numFmtId="0" fontId="7" fillId="0" borderId="1" xfId="11" applyFont="1" applyBorder="1" applyAlignment="1">
      <alignment vertical="center"/>
    </xf>
    <xf numFmtId="0" fontId="7" fillId="0" borderId="0" xfId="11" applyFont="1" applyAlignment="1">
      <alignment horizontal="left" vertical="center"/>
    </xf>
    <xf numFmtId="0" fontId="12" fillId="0" borderId="0" xfId="11" applyFont="1" applyAlignment="1">
      <alignment horizontal="right" vertical="center"/>
    </xf>
    <xf numFmtId="0" fontId="15" fillId="0" borderId="139" xfId="0" applyFont="1" applyBorder="1" applyAlignment="1">
      <alignment vertical="center"/>
    </xf>
    <xf numFmtId="0" fontId="15" fillId="0" borderId="139" xfId="0" applyFont="1" applyBorder="1" applyAlignment="1">
      <alignment horizontal="center" vertical="center"/>
    </xf>
    <xf numFmtId="0" fontId="8" fillId="3" borderId="147" xfId="21414" applyFont="1" applyFill="1" applyBorder="1" applyAlignment="1">
      <alignment horizontal="left" vertical="center" wrapText="1"/>
    </xf>
    <xf numFmtId="165" fontId="15" fillId="0" borderId="147" xfId="7" applyNumberFormat="1" applyFont="1" applyFill="1" applyBorder="1" applyAlignment="1">
      <alignment vertical="center" wrapText="1"/>
    </xf>
    <xf numFmtId="165" fontId="15" fillId="0" borderId="148" xfId="7" applyNumberFormat="1" applyFont="1" applyFill="1" applyBorder="1" applyAlignment="1">
      <alignment vertical="center" wrapText="1"/>
    </xf>
    <xf numFmtId="0" fontId="7" fillId="0" borderId="147" xfId="21414" applyFont="1" applyBorder="1" applyAlignment="1">
      <alignment horizontal="left" vertical="center" wrapText="1"/>
    </xf>
    <xf numFmtId="0" fontId="132" fillId="3" borderId="147" xfId="21414" applyFont="1" applyFill="1" applyBorder="1" applyAlignment="1">
      <alignment horizontal="left" vertical="center" wrapText="1"/>
    </xf>
    <xf numFmtId="0" fontId="7" fillId="3" borderId="147" xfId="21414" applyFont="1" applyFill="1" applyBorder="1" applyAlignment="1">
      <alignment horizontal="left" vertical="center" wrapText="1"/>
    </xf>
    <xf numFmtId="0" fontId="8" fillId="0" borderId="147" xfId="0" applyFont="1" applyBorder="1" applyAlignment="1">
      <alignment horizontal="left" vertical="center" wrapText="1"/>
    </xf>
    <xf numFmtId="0" fontId="132" fillId="0" borderId="147" xfId="0" applyFont="1" applyBorder="1" applyAlignment="1">
      <alignment horizontal="left" vertical="center" wrapText="1"/>
    </xf>
    <xf numFmtId="0" fontId="133" fillId="3" borderId="147" xfId="0" applyFont="1" applyFill="1" applyBorder="1" applyAlignment="1">
      <alignment horizontal="left" vertical="center" wrapText="1"/>
    </xf>
    <xf numFmtId="165" fontId="15" fillId="0" borderId="147" xfId="7" applyNumberFormat="1" applyFont="1" applyBorder="1" applyAlignment="1">
      <alignment vertical="center"/>
    </xf>
    <xf numFmtId="0" fontId="132" fillId="3" borderId="147" xfId="0" applyFont="1" applyFill="1" applyBorder="1" applyAlignment="1">
      <alignment horizontal="left" vertical="center" wrapText="1"/>
    </xf>
    <xf numFmtId="165" fontId="15" fillId="0" borderId="148" xfId="7" applyNumberFormat="1" applyFont="1" applyBorder="1" applyAlignment="1">
      <alignment vertical="center"/>
    </xf>
    <xf numFmtId="0" fontId="133" fillId="0" borderId="147" xfId="0" applyFont="1" applyBorder="1" applyAlignment="1">
      <alignment horizontal="left" vertical="center" wrapText="1"/>
    </xf>
    <xf numFmtId="0" fontId="133" fillId="0" borderId="147" xfId="21414" applyFont="1" applyBorder="1" applyAlignment="1">
      <alignment horizontal="left" vertical="center" wrapText="1"/>
    </xf>
    <xf numFmtId="0" fontId="15" fillId="0" borderId="137" xfId="0" applyFont="1" applyBorder="1" applyAlignment="1">
      <alignment vertical="center"/>
    </xf>
    <xf numFmtId="165" fontId="14" fillId="35" borderId="136" xfId="7" applyNumberFormat="1" applyFont="1" applyFill="1" applyBorder="1" applyAlignment="1">
      <alignment horizontal="center" vertical="center"/>
    </xf>
    <xf numFmtId="165" fontId="14" fillId="35" borderId="135" xfId="7" applyNumberFormat="1" applyFont="1" applyFill="1" applyBorder="1" applyAlignment="1">
      <alignment horizontal="center" vertical="center"/>
    </xf>
    <xf numFmtId="0" fontId="8" fillId="76" borderId="86" xfId="21412" applyFont="1" applyFill="1" applyBorder="1" applyAlignment="1" applyProtection="1">
      <alignment vertical="center" wrapText="1"/>
      <protection locked="0"/>
    </xf>
    <xf numFmtId="0" fontId="7" fillId="69" borderId="80" xfId="21412" applyFont="1" applyFill="1" applyBorder="1" applyAlignment="1" applyProtection="1">
      <alignment horizontal="center" vertical="center"/>
      <protection locked="0"/>
    </xf>
    <xf numFmtId="0" fontId="7" fillId="0" borderId="84" xfId="21412" applyFont="1" applyBorder="1" applyAlignment="1" applyProtection="1">
      <alignment horizontal="left" vertical="center" wrapText="1"/>
      <protection locked="0"/>
    </xf>
    <xf numFmtId="165" fontId="7" fillId="0" borderId="85" xfId="948" applyNumberFormat="1" applyFont="1" applyFill="1" applyBorder="1" applyAlignment="1" applyProtection="1">
      <alignment horizontal="right" vertical="center"/>
      <protection locked="0"/>
    </xf>
    <xf numFmtId="0" fontId="8" fillId="77" borderId="85" xfId="21412" applyFont="1" applyFill="1" applyBorder="1" applyAlignment="1" applyProtection="1">
      <alignment horizontal="center" vertical="center"/>
      <protection locked="0"/>
    </xf>
    <xf numFmtId="165" fontId="7" fillId="77" borderId="85" xfId="948" applyNumberFormat="1" applyFont="1" applyFill="1" applyBorder="1" applyAlignment="1" applyProtection="1">
      <alignment horizontal="right" vertical="center"/>
    </xf>
    <xf numFmtId="0" fontId="7" fillId="69" borderId="129" xfId="21412" applyFont="1" applyFill="1" applyBorder="1" applyAlignment="1" applyProtection="1">
      <alignment vertical="center" wrapText="1"/>
      <protection locked="0"/>
    </xf>
    <xf numFmtId="0" fontId="7" fillId="69" borderId="129" xfId="21412" applyFont="1" applyFill="1" applyBorder="1" applyAlignment="1" applyProtection="1">
      <alignment horizontal="left" vertical="center" wrapText="1"/>
      <protection locked="0"/>
    </xf>
    <xf numFmtId="0" fontId="7" fillId="0" borderId="129" xfId="21412" applyFont="1" applyBorder="1" applyAlignment="1" applyProtection="1">
      <alignment horizontal="left" vertical="center" wrapText="1"/>
      <protection locked="0"/>
    </xf>
    <xf numFmtId="0" fontId="7" fillId="3" borderId="80" xfId="21412" applyFont="1" applyFill="1" applyBorder="1" applyAlignment="1" applyProtection="1">
      <alignment horizontal="center" vertical="center"/>
      <protection locked="0"/>
    </xf>
    <xf numFmtId="0" fontId="7" fillId="0" borderId="129" xfId="21412" applyFont="1" applyBorder="1" applyAlignment="1" applyProtection="1">
      <alignment vertical="center" wrapText="1"/>
      <protection locked="0"/>
    </xf>
    <xf numFmtId="0" fontId="8" fillId="77" borderId="84" xfId="21412" applyFont="1" applyFill="1" applyBorder="1" applyAlignment="1" applyProtection="1">
      <alignment vertical="center" wrapText="1"/>
      <protection locked="0"/>
    </xf>
    <xf numFmtId="0" fontId="7" fillId="69" borderId="84" xfId="21412" applyFont="1" applyFill="1" applyBorder="1" applyAlignment="1" applyProtection="1">
      <alignment vertical="center" wrapText="1"/>
      <protection locked="0"/>
    </xf>
    <xf numFmtId="165" fontId="7" fillId="3" borderId="85" xfId="948" applyNumberFormat="1" applyFont="1" applyFill="1" applyBorder="1" applyAlignment="1" applyProtection="1">
      <alignment horizontal="right" vertical="center"/>
      <protection locked="0"/>
    </xf>
    <xf numFmtId="0" fontId="7" fillId="3" borderId="129" xfId="21412" applyFont="1" applyFill="1" applyBorder="1" applyAlignment="1" applyProtection="1">
      <alignment horizontal="center" vertical="center"/>
      <protection locked="0"/>
    </xf>
    <xf numFmtId="0" fontId="7" fillId="69" borderId="84" xfId="21412" applyFont="1" applyFill="1" applyBorder="1" applyAlignment="1" applyProtection="1">
      <alignment horizontal="left" vertical="center" wrapText="1"/>
      <protection locked="0"/>
    </xf>
    <xf numFmtId="165" fontId="15" fillId="35" borderId="12" xfId="7" applyNumberFormat="1" applyFont="1" applyFill="1" applyBorder="1" applyAlignment="1">
      <alignment horizontal="center" vertical="center"/>
    </xf>
    <xf numFmtId="165" fontId="15" fillId="35" borderId="14" xfId="7" applyNumberFormat="1" applyFont="1" applyFill="1" applyBorder="1" applyAlignment="1">
      <alignment horizontal="center" vertical="center" wrapText="1"/>
    </xf>
    <xf numFmtId="165" fontId="14" fillId="35" borderId="18" xfId="7" applyNumberFormat="1" applyFont="1" applyFill="1" applyBorder="1" applyAlignment="1">
      <alignment horizontal="center" vertical="center" wrapText="1"/>
    </xf>
    <xf numFmtId="0" fontId="14" fillId="35" borderId="21" xfId="0" applyFont="1" applyFill="1" applyBorder="1" applyAlignment="1">
      <alignment vertical="center" wrapText="1"/>
    </xf>
    <xf numFmtId="165" fontId="15" fillId="0" borderId="14" xfId="7" applyNumberFormat="1" applyFont="1" applyBorder="1" applyAlignment="1">
      <alignment vertical="center"/>
    </xf>
    <xf numFmtId="165" fontId="15" fillId="0" borderId="14" xfId="7" applyNumberFormat="1" applyFont="1" applyBorder="1" applyAlignment="1">
      <alignment vertical="center" wrapText="1"/>
    </xf>
    <xf numFmtId="0" fontId="3" fillId="0" borderId="0" xfId="0" applyFont="1" applyAlignment="1">
      <alignment vertical="center" wrapText="1"/>
    </xf>
    <xf numFmtId="0" fontId="14" fillId="35" borderId="7" xfId="0" applyFont="1" applyFill="1" applyBorder="1" applyAlignment="1">
      <alignment vertical="center" wrapText="1"/>
    </xf>
    <xf numFmtId="0" fontId="14" fillId="35" borderId="54" xfId="0" applyFont="1" applyFill="1" applyBorder="1" applyAlignment="1">
      <alignment vertical="center" wrapText="1"/>
    </xf>
    <xf numFmtId="0" fontId="8" fillId="76" borderId="84" xfId="21412" applyFont="1" applyFill="1" applyBorder="1" applyProtection="1">
      <alignment vertical="center"/>
      <protection locked="0"/>
    </xf>
    <xf numFmtId="165" fontId="141" fillId="0" borderId="0" xfId="7" applyNumberFormat="1" applyFont="1" applyAlignment="1">
      <alignment vertical="center"/>
    </xf>
    <xf numFmtId="0" fontId="8" fillId="76" borderId="86" xfId="21412" applyFont="1" applyFill="1" applyBorder="1" applyProtection="1">
      <alignment vertical="center"/>
      <protection locked="0"/>
    </xf>
    <xf numFmtId="165" fontId="14" fillId="0" borderId="147" xfId="7" applyNumberFormat="1" applyFont="1" applyBorder="1" applyAlignment="1">
      <alignment horizontal="center" vertical="center"/>
    </xf>
    <xf numFmtId="165" fontId="15" fillId="0" borderId="147" xfId="7" applyNumberFormat="1" applyFont="1" applyBorder="1" applyAlignment="1">
      <alignment horizontal="center" vertical="center"/>
    </xf>
    <xf numFmtId="0" fontId="124" fillId="3" borderId="147" xfId="21414" applyFont="1" applyFill="1" applyBorder="1" applyAlignment="1">
      <alignment horizontal="left" vertical="center" wrapText="1"/>
    </xf>
    <xf numFmtId="0" fontId="95" fillId="0" borderId="147" xfId="0" applyFont="1" applyBorder="1" applyAlignment="1">
      <alignment horizontal="left" vertical="center" wrapText="1"/>
    </xf>
    <xf numFmtId="0" fontId="124" fillId="0" borderId="147" xfId="0" applyFont="1" applyBorder="1" applyAlignment="1">
      <alignment horizontal="left" vertical="center" wrapText="1"/>
    </xf>
    <xf numFmtId="0" fontId="124" fillId="3" borderId="147" xfId="0" applyFont="1" applyFill="1" applyBorder="1" applyAlignment="1">
      <alignment horizontal="left" vertical="center" wrapText="1"/>
    </xf>
    <xf numFmtId="0" fontId="124" fillId="0" borderId="147" xfId="21414" applyFont="1" applyBorder="1" applyAlignment="1">
      <alignment horizontal="left" vertical="center" wrapText="1"/>
    </xf>
    <xf numFmtId="0" fontId="124" fillId="0" borderId="136" xfId="0" applyFont="1" applyBorder="1" applyAlignment="1">
      <alignment horizontal="left" vertical="center" wrapText="1"/>
    </xf>
    <xf numFmtId="165" fontId="14" fillId="0" borderId="136" xfId="7" applyNumberFormat="1" applyFont="1" applyBorder="1" applyAlignment="1">
      <alignment horizontal="center" vertical="center"/>
    </xf>
    <xf numFmtId="0" fontId="95" fillId="3" borderId="5" xfId="21414" applyFont="1" applyFill="1" applyBorder="1" applyAlignment="1">
      <alignment horizontal="left" vertical="center" wrapText="1"/>
    </xf>
    <xf numFmtId="165" fontId="14" fillId="0" borderId="5" xfId="7" applyNumberFormat="1" applyFont="1" applyBorder="1" applyAlignment="1">
      <alignment horizontal="center" vertical="center"/>
    </xf>
    <xf numFmtId="0" fontId="7" fillId="0" borderId="95" xfId="0" applyFont="1" applyBorder="1" applyAlignment="1">
      <alignment horizontal="center" vertical="center" wrapText="1"/>
    </xf>
    <xf numFmtId="0" fontId="7" fillId="0" borderId="82" xfId="0" applyFont="1" applyBorder="1" applyAlignment="1">
      <alignment horizontal="center" vertical="center" wrapText="1"/>
    </xf>
    <xf numFmtId="0" fontId="15" fillId="0" borderId="82" xfId="0" applyFont="1" applyBorder="1" applyAlignment="1">
      <alignment horizontal="center" vertical="center" wrapText="1"/>
    </xf>
    <xf numFmtId="0" fontId="15" fillId="0" borderId="96" xfId="0" applyFont="1" applyBorder="1" applyAlignment="1">
      <alignment horizontal="center" vertical="center" wrapText="1"/>
    </xf>
    <xf numFmtId="0" fontId="126" fillId="0" borderId="134" xfId="21414" applyFont="1" applyBorder="1" applyAlignment="1">
      <alignment horizontal="center" vertical="center" wrapText="1"/>
    </xf>
    <xf numFmtId="165" fontId="15" fillId="0" borderId="134" xfId="7" applyNumberFormat="1" applyFont="1" applyBorder="1" applyAlignment="1">
      <alignment vertical="center"/>
    </xf>
    <xf numFmtId="0" fontId="8" fillId="0" borderId="0" xfId="11" applyFont="1" applyAlignment="1">
      <alignment horizontal="center" vertical="center"/>
    </xf>
    <xf numFmtId="0" fontId="12" fillId="0" borderId="0" xfId="0" applyFont="1" applyAlignment="1" applyProtection="1">
      <alignment horizontal="right" vertical="center"/>
      <protection locked="0"/>
    </xf>
    <xf numFmtId="0" fontId="120" fillId="0" borderId="55" xfId="0" applyFont="1" applyBorder="1" applyAlignment="1">
      <alignment horizontal="center" vertical="center"/>
    </xf>
    <xf numFmtId="167" fontId="15" fillId="0" borderId="50" xfId="0" applyNumberFormat="1" applyFont="1" applyBorder="1" applyAlignment="1">
      <alignment horizontal="center" vertical="center"/>
    </xf>
    <xf numFmtId="0" fontId="120" fillId="0" borderId="139" xfId="0" applyFont="1" applyBorder="1" applyAlignment="1">
      <alignment horizontal="center" vertical="center"/>
    </xf>
    <xf numFmtId="0" fontId="96" fillId="0" borderId="147" xfId="21414" applyFont="1" applyBorder="1" applyAlignment="1">
      <alignment horizontal="left" vertical="center" wrapText="1"/>
    </xf>
    <xf numFmtId="167" fontId="15" fillId="0" borderId="148" xfId="0" applyNumberFormat="1" applyFont="1" applyBorder="1" applyAlignment="1">
      <alignment horizontal="center" vertical="center"/>
    </xf>
    <xf numFmtId="0" fontId="123" fillId="0" borderId="139" xfId="0" applyFont="1" applyBorder="1" applyAlignment="1">
      <alignment horizontal="center" vertical="center"/>
    </xf>
    <xf numFmtId="0" fontId="96" fillId="3" borderId="147" xfId="21414" applyFont="1" applyFill="1" applyBorder="1" applyAlignment="1">
      <alignment horizontal="left" vertical="center" wrapText="1"/>
    </xf>
    <xf numFmtId="167" fontId="13" fillId="0" borderId="148" xfId="0" applyNumberFormat="1" applyFont="1" applyBorder="1" applyAlignment="1">
      <alignment horizontal="center" vertical="center"/>
    </xf>
    <xf numFmtId="0" fontId="125" fillId="3" borderId="147" xfId="0" applyFont="1" applyFill="1" applyBorder="1" applyAlignment="1">
      <alignment horizontal="left" vertical="center" wrapText="1"/>
    </xf>
    <xf numFmtId="0" fontId="125" fillId="0" borderId="147" xfId="0" applyFont="1" applyBorder="1" applyAlignment="1">
      <alignment horizontal="left" vertical="center" wrapText="1"/>
    </xf>
    <xf numFmtId="0" fontId="125" fillId="0" borderId="147" xfId="21414" applyFont="1" applyBorder="1" applyAlignment="1">
      <alignment horizontal="left" vertical="center" wrapText="1"/>
    </xf>
    <xf numFmtId="0" fontId="123" fillId="0" borderId="101" xfId="0" applyFont="1" applyBorder="1" applyAlignment="1">
      <alignment horizontal="center" vertical="center"/>
    </xf>
    <xf numFmtId="0" fontId="96" fillId="3" borderId="147" xfId="0" applyFont="1" applyFill="1" applyBorder="1" applyAlignment="1">
      <alignment horizontal="left" vertical="center" wrapText="1"/>
    </xf>
    <xf numFmtId="0" fontId="15" fillId="0" borderId="148" xfId="0" applyFont="1" applyBorder="1" applyAlignment="1">
      <alignment vertical="center"/>
    </xf>
    <xf numFmtId="0" fontId="96" fillId="0" borderId="147" xfId="0" applyFont="1" applyBorder="1" applyAlignment="1">
      <alignment horizontal="left" vertical="center" wrapText="1"/>
    </xf>
    <xf numFmtId="0" fontId="127" fillId="0" borderId="147" xfId="0" applyFont="1" applyBorder="1" applyAlignment="1">
      <alignment horizontal="left" vertical="center"/>
    </xf>
    <xf numFmtId="0" fontId="123" fillId="0" borderId="137" xfId="0" applyFont="1" applyBorder="1" applyAlignment="1">
      <alignment horizontal="center" vertical="center"/>
    </xf>
    <xf numFmtId="0" fontId="15" fillId="0" borderId="135" xfId="0" applyFont="1" applyBorder="1" applyAlignment="1">
      <alignment vertical="center"/>
    </xf>
    <xf numFmtId="165" fontId="3" fillId="0" borderId="0" xfId="7" applyNumberFormat="1" applyFont="1" applyAlignment="1">
      <alignment vertical="center"/>
    </xf>
    <xf numFmtId="165" fontId="15" fillId="0" borderId="0" xfId="0" applyNumberFormat="1" applyFont="1" applyAlignment="1">
      <alignment vertical="center"/>
    </xf>
    <xf numFmtId="165" fontId="14" fillId="0" borderId="123" xfId="7" applyNumberFormat="1" applyFont="1" applyBorder="1" applyAlignment="1">
      <alignment vertical="center"/>
    </xf>
    <xf numFmtId="0" fontId="14" fillId="0" borderId="123" xfId="0" applyFont="1" applyBorder="1" applyAlignment="1">
      <alignment vertical="center"/>
    </xf>
    <xf numFmtId="0" fontId="15" fillId="0" borderId="0" xfId="0" applyFont="1" applyAlignment="1">
      <alignment horizontal="left" vertical="center" wrapText="1"/>
    </xf>
    <xf numFmtId="0" fontId="7" fillId="0" borderId="139" xfId="0" applyFont="1" applyBorder="1" applyAlignment="1">
      <alignment vertical="center"/>
    </xf>
    <xf numFmtId="0" fontId="7" fillId="0" borderId="6" xfId="0" applyFont="1" applyBorder="1" applyAlignment="1">
      <alignment vertical="center"/>
    </xf>
    <xf numFmtId="0" fontId="7" fillId="0" borderId="132" xfId="0" applyFont="1" applyBorder="1" applyAlignment="1">
      <alignment vertical="center"/>
    </xf>
    <xf numFmtId="10" fontId="7" fillId="2" borderId="129" xfId="20961" applyNumberFormat="1" applyFont="1" applyFill="1" applyBorder="1" applyAlignment="1" applyProtection="1">
      <alignment vertical="center"/>
      <protection locked="0"/>
    </xf>
    <xf numFmtId="10" fontId="11" fillId="0" borderId="129" xfId="0" applyNumberFormat="1" applyFont="1" applyBorder="1" applyAlignment="1" applyProtection="1">
      <alignment vertical="center"/>
      <protection locked="0"/>
    </xf>
    <xf numFmtId="10" fontId="11" fillId="2" borderId="136" xfId="20961" applyNumberFormat="1" applyFont="1" applyFill="1" applyBorder="1" applyAlignment="1" applyProtection="1">
      <alignment vertical="center"/>
      <protection locked="0"/>
    </xf>
    <xf numFmtId="10" fontId="14" fillId="0" borderId="79" xfId="20961" applyNumberFormat="1" applyFont="1" applyBorder="1" applyAlignment="1">
      <alignment vertical="center"/>
    </xf>
    <xf numFmtId="10" fontId="14" fillId="0" borderId="96" xfId="20961" applyNumberFormat="1" applyFont="1" applyBorder="1" applyAlignment="1">
      <alignment vertical="center"/>
    </xf>
    <xf numFmtId="165" fontId="93" fillId="76" borderId="129" xfId="7" applyNumberFormat="1" applyFont="1" applyFill="1" applyBorder="1" applyAlignment="1">
      <alignment vertical="center"/>
    </xf>
    <xf numFmtId="10" fontId="7" fillId="77" borderId="85" xfId="20961" applyNumberFormat="1" applyFont="1" applyFill="1" applyBorder="1" applyAlignment="1" applyProtection="1">
      <alignment horizontal="right" vertical="center"/>
    </xf>
    <xf numFmtId="165" fontId="15" fillId="0" borderId="14" xfId="7" applyNumberFormat="1" applyFont="1" applyFill="1" applyBorder="1" applyAlignment="1">
      <alignment vertical="center" wrapText="1"/>
    </xf>
    <xf numFmtId="165" fontId="15" fillId="0" borderId="14" xfId="7" applyNumberFormat="1" applyFont="1" applyFill="1" applyBorder="1" applyAlignment="1">
      <alignment vertical="center"/>
    </xf>
    <xf numFmtId="165" fontId="15" fillId="0" borderId="123" xfId="7" applyNumberFormat="1" applyFont="1" applyFill="1" applyBorder="1" applyAlignment="1">
      <alignment vertical="center"/>
    </xf>
    <xf numFmtId="165" fontId="100" fillId="0" borderId="129" xfId="7" applyNumberFormat="1" applyFont="1" applyFill="1" applyBorder="1" applyAlignment="1">
      <alignment vertical="center"/>
    </xf>
    <xf numFmtId="0" fontId="143" fillId="0" borderId="0" xfId="0" applyFont="1" applyAlignment="1">
      <alignment horizontal="right" vertical="center"/>
    </xf>
    <xf numFmtId="165" fontId="144" fillId="0" borderId="0" xfId="0" applyNumberFormat="1" applyFont="1" applyAlignment="1">
      <alignment vertical="center"/>
    </xf>
    <xf numFmtId="0" fontId="144" fillId="0" borderId="0" xfId="0" applyFont="1" applyAlignment="1">
      <alignment vertical="center"/>
    </xf>
    <xf numFmtId="0" fontId="14" fillId="0" borderId="0" xfId="0" applyFont="1" applyAlignment="1">
      <alignment vertical="center"/>
    </xf>
    <xf numFmtId="165" fontId="103" fillId="35" borderId="129" xfId="7" applyNumberFormat="1" applyFont="1" applyFill="1" applyBorder="1" applyAlignment="1">
      <alignment vertical="center"/>
    </xf>
    <xf numFmtId="0" fontId="145" fillId="0" borderId="0" xfId="0" applyFont="1" applyAlignment="1">
      <alignment vertical="center"/>
    </xf>
    <xf numFmtId="0" fontId="146" fillId="0" borderId="0" xfId="0" applyFont="1" applyAlignment="1">
      <alignment horizontal="right" vertical="center"/>
    </xf>
    <xf numFmtId="165" fontId="139" fillId="0" borderId="0" xfId="7" applyNumberFormat="1" applyFont="1" applyBorder="1" applyAlignment="1">
      <alignment vertical="center"/>
    </xf>
    <xf numFmtId="43" fontId="142" fillId="0" borderId="0" xfId="7" applyFont="1"/>
    <xf numFmtId="165" fontId="104" fillId="0" borderId="0" xfId="7" applyNumberFormat="1" applyFont="1"/>
    <xf numFmtId="0" fontId="143" fillId="0" borderId="0" xfId="0" applyFont="1" applyAlignment="1">
      <alignment horizontal="right"/>
    </xf>
    <xf numFmtId="165" fontId="144" fillId="0" borderId="0" xfId="0" applyNumberFormat="1" applyFont="1"/>
    <xf numFmtId="165" fontId="11" fillId="2" borderId="130" xfId="7" applyNumberFormat="1" applyFont="1" applyFill="1" applyBorder="1" applyAlignment="1" applyProtection="1">
      <alignment vertical="center"/>
      <protection locked="0"/>
    </xf>
    <xf numFmtId="165" fontId="101" fillId="0" borderId="0" xfId="0" applyNumberFormat="1" applyFont="1" applyAlignment="1">
      <alignment vertical="center"/>
    </xf>
    <xf numFmtId="0" fontId="14" fillId="0" borderId="0" xfId="0" applyFont="1"/>
    <xf numFmtId="0" fontId="15" fillId="0" borderId="11" xfId="0" applyFont="1" applyBorder="1" applyAlignment="1">
      <alignment horizontal="left" vertical="center" wrapText="1"/>
    </xf>
    <xf numFmtId="165" fontId="15" fillId="0" borderId="132" xfId="7" applyNumberFormat="1" applyFont="1" applyBorder="1" applyAlignment="1">
      <alignment vertical="center" wrapText="1"/>
    </xf>
    <xf numFmtId="0" fontId="15" fillId="0" borderId="11" xfId="0" applyFont="1" applyBorder="1" applyAlignment="1">
      <alignment horizontal="left" vertical="center" wrapText="1" indent="1"/>
    </xf>
    <xf numFmtId="169" fontId="15" fillId="36" borderId="0" xfId="20" applyFont="1"/>
    <xf numFmtId="169" fontId="15" fillId="0" borderId="0" xfId="20" applyFont="1" applyFill="1"/>
    <xf numFmtId="10" fontId="15" fillId="2" borderId="129" xfId="20961" applyNumberFormat="1" applyFont="1" applyFill="1" applyBorder="1" applyAlignment="1" applyProtection="1">
      <alignment vertical="center"/>
      <protection locked="0"/>
    </xf>
    <xf numFmtId="10" fontId="15" fillId="0" borderId="129" xfId="0" applyNumberFormat="1" applyFont="1" applyBorder="1" applyAlignment="1" applyProtection="1">
      <alignment vertical="center"/>
      <protection locked="0"/>
    </xf>
    <xf numFmtId="10" fontId="15" fillId="2" borderId="136" xfId="20961" applyNumberFormat="1" applyFont="1" applyFill="1" applyBorder="1" applyAlignment="1" applyProtection="1">
      <alignment vertical="center"/>
      <protection locked="0"/>
    </xf>
    <xf numFmtId="165" fontId="15" fillId="0" borderId="129" xfId="7" applyNumberFormat="1" applyFont="1" applyFill="1" applyBorder="1" applyAlignment="1">
      <alignment vertical="center"/>
    </xf>
    <xf numFmtId="165" fontId="7" fillId="0" borderId="18" xfId="7" applyNumberFormat="1" applyFont="1" applyFill="1" applyBorder="1" applyAlignment="1" applyProtection="1">
      <alignment horizontal="right" vertical="center" wrapText="1"/>
    </xf>
    <xf numFmtId="0" fontId="147" fillId="0" borderId="147" xfId="0" applyFont="1" applyBorder="1" applyAlignment="1">
      <alignment horizontal="left" vertical="center"/>
    </xf>
    <xf numFmtId="10" fontId="11" fillId="2" borderId="129" xfId="0" applyNumberFormat="1" applyFont="1" applyFill="1" applyBorder="1" applyAlignment="1" applyProtection="1">
      <alignment vertical="center"/>
      <protection locked="0"/>
    </xf>
    <xf numFmtId="10" fontId="7" fillId="2" borderId="129" xfId="0" applyNumberFormat="1" applyFont="1" applyFill="1" applyBorder="1" applyAlignment="1" applyProtection="1">
      <alignment vertical="center"/>
      <protection locked="0"/>
    </xf>
    <xf numFmtId="165" fontId="15" fillId="2" borderId="130" xfId="0" applyNumberFormat="1" applyFont="1" applyFill="1" applyBorder="1" applyAlignment="1" applyProtection="1">
      <alignment vertical="center"/>
      <protection locked="0"/>
    </xf>
    <xf numFmtId="10" fontId="11" fillId="2" borderId="136" xfId="0" applyNumberFormat="1" applyFont="1" applyFill="1" applyBorder="1" applyAlignment="1" applyProtection="1">
      <alignment vertical="center"/>
      <protection locked="0"/>
    </xf>
    <xf numFmtId="165" fontId="3" fillId="0" borderId="0" xfId="7" applyNumberFormat="1" applyFont="1" applyAlignment="1">
      <alignment horizontal="left" vertical="center"/>
    </xf>
    <xf numFmtId="43" fontId="3" fillId="0" borderId="0" xfId="0" applyNumberFormat="1" applyFont="1" applyAlignment="1">
      <alignment horizontal="left" vertical="center"/>
    </xf>
    <xf numFmtId="165" fontId="15" fillId="0" borderId="129" xfId="7" applyNumberFormat="1" applyFont="1" applyFill="1" applyBorder="1" applyAlignment="1">
      <alignment vertical="center" wrapText="1"/>
    </xf>
    <xf numFmtId="1" fontId="15" fillId="0" borderId="0" xfId="0" applyNumberFormat="1" applyFont="1"/>
    <xf numFmtId="165" fontId="7" fillId="0" borderId="0" xfId="0" applyNumberFormat="1" applyFont="1" applyAlignment="1">
      <alignment vertical="center"/>
    </xf>
    <xf numFmtId="165" fontId="7" fillId="0" borderId="147" xfId="7" applyNumberFormat="1" applyFont="1" applyBorder="1" applyAlignment="1">
      <alignment vertical="center"/>
    </xf>
    <xf numFmtId="165" fontId="148" fillId="0" borderId="0" xfId="0" applyNumberFormat="1" applyFont="1" applyAlignment="1">
      <alignment vertical="center"/>
    </xf>
    <xf numFmtId="165" fontId="8" fillId="0" borderId="55" xfId="7" applyNumberFormat="1" applyFont="1" applyFill="1" applyBorder="1" applyAlignment="1">
      <alignment vertical="center"/>
    </xf>
    <xf numFmtId="165" fontId="7" fillId="0" borderId="129" xfId="7" applyNumberFormat="1" applyFont="1" applyFill="1" applyBorder="1" applyAlignment="1">
      <alignment vertical="center"/>
    </xf>
    <xf numFmtId="165" fontId="7" fillId="0" borderId="55" xfId="7" applyNumberFormat="1" applyFont="1" applyFill="1" applyBorder="1" applyAlignment="1">
      <alignment vertical="center"/>
    </xf>
    <xf numFmtId="165" fontId="7" fillId="0" borderId="139" xfId="7" applyNumberFormat="1" applyFont="1" applyFill="1" applyBorder="1" applyAlignment="1">
      <alignment horizontal="left" vertical="center"/>
    </xf>
    <xf numFmtId="165" fontId="7" fillId="0" borderId="147" xfId="7" applyNumberFormat="1" applyFont="1" applyFill="1" applyBorder="1" applyAlignment="1">
      <alignment vertical="center"/>
    </xf>
    <xf numFmtId="165" fontId="101" fillId="0" borderId="0" xfId="7" applyNumberFormat="1" applyFont="1" applyAlignment="1">
      <alignment vertical="center"/>
    </xf>
    <xf numFmtId="10" fontId="105" fillId="0" borderId="129" xfId="20961" applyNumberFormat="1" applyFont="1" applyFill="1" applyBorder="1" applyAlignment="1">
      <alignment vertical="center"/>
    </xf>
    <xf numFmtId="1" fontId="105" fillId="0" borderId="129" xfId="7" applyNumberFormat="1" applyFont="1" applyFill="1" applyBorder="1" applyAlignment="1">
      <alignment vertical="center"/>
    </xf>
    <xf numFmtId="165" fontId="105" fillId="0" borderId="129" xfId="7" applyNumberFormat="1" applyFont="1" applyFill="1" applyBorder="1" applyAlignment="1">
      <alignment vertical="center"/>
    </xf>
    <xf numFmtId="165" fontId="105" fillId="0" borderId="130" xfId="7" applyNumberFormat="1" applyFont="1" applyFill="1" applyBorder="1" applyAlignment="1">
      <alignment vertical="center"/>
    </xf>
    <xf numFmtId="10" fontId="139" fillId="0" borderId="129" xfId="20961" applyNumberFormat="1" applyFont="1" applyFill="1" applyBorder="1" applyAlignment="1">
      <alignment vertical="center"/>
    </xf>
    <xf numFmtId="1" fontId="139" fillId="0" borderId="129" xfId="7" applyNumberFormat="1" applyFont="1" applyFill="1" applyBorder="1" applyAlignment="1">
      <alignment vertical="center"/>
    </xf>
    <xf numFmtId="165" fontId="11" fillId="2" borderId="130" xfId="0" applyNumberFormat="1" applyFont="1" applyFill="1" applyBorder="1" applyAlignment="1" applyProtection="1">
      <alignment vertical="center"/>
      <protection locked="0"/>
    </xf>
    <xf numFmtId="165" fontId="15" fillId="2" borderId="129" xfId="0" applyNumberFormat="1" applyFont="1" applyFill="1" applyBorder="1" applyAlignment="1" applyProtection="1">
      <alignment vertical="center"/>
      <protection locked="0"/>
    </xf>
    <xf numFmtId="195" fontId="15" fillId="2" borderId="129" xfId="0" applyNumberFormat="1" applyFont="1" applyFill="1" applyBorder="1" applyAlignment="1" applyProtection="1">
      <alignment vertical="center"/>
      <protection locked="0"/>
    </xf>
    <xf numFmtId="43" fontId="7" fillId="0" borderId="85" xfId="948" applyFont="1" applyFill="1" applyBorder="1" applyAlignment="1" applyProtection="1">
      <alignment horizontal="right" vertical="center"/>
      <protection locked="0"/>
    </xf>
    <xf numFmtId="4" fontId="0" fillId="0" borderId="0" xfId="0" applyNumberFormat="1"/>
    <xf numFmtId="165" fontId="100" fillId="0" borderId="0" xfId="0" applyNumberFormat="1" applyFont="1"/>
    <xf numFmtId="49" fontId="7" fillId="0" borderId="135" xfId="0" applyNumberFormat="1" applyFont="1" applyBorder="1" applyAlignment="1">
      <alignment horizontal="left" vertical="center"/>
    </xf>
    <xf numFmtId="0" fontId="15" fillId="0" borderId="0" xfId="0" applyFont="1" applyAlignment="1">
      <alignment horizontal="right"/>
    </xf>
    <xf numFmtId="165" fontId="101" fillId="0" borderId="129" xfId="7" applyNumberFormat="1" applyFont="1" applyFill="1" applyBorder="1"/>
    <xf numFmtId="0" fontId="100" fillId="0" borderId="129" xfId="0" applyFont="1" applyBorder="1" applyAlignment="1">
      <alignment horizontal="left" wrapText="1" indent="4"/>
    </xf>
    <xf numFmtId="0" fontId="100" fillId="0" borderId="129" xfId="0" applyFont="1" applyBorder="1" applyAlignment="1">
      <alignment horizontal="left" wrapText="1" indent="1"/>
    </xf>
    <xf numFmtId="165" fontId="104" fillId="0" borderId="129" xfId="7" applyNumberFormat="1" applyFont="1" applyFill="1" applyBorder="1"/>
    <xf numFmtId="0" fontId="7" fillId="0" borderId="100" xfId="0" applyFont="1" applyBorder="1" applyAlignment="1">
      <alignment vertical="center"/>
    </xf>
    <xf numFmtId="0" fontId="7" fillId="0" borderId="147" xfId="0" applyFont="1" applyBorder="1" applyAlignment="1">
      <alignment vertical="center" wrapText="1"/>
    </xf>
    <xf numFmtId="10" fontId="15" fillId="0" borderId="15" xfId="20961" applyNumberFormat="1" applyFont="1" applyFill="1" applyBorder="1" applyAlignment="1">
      <alignment horizontal="left" vertical="center"/>
    </xf>
    <xf numFmtId="10" fontId="15" fillId="0" borderId="100" xfId="20961" applyNumberFormat="1" applyFont="1" applyFill="1" applyBorder="1" applyAlignment="1">
      <alignment horizontal="left" vertical="center"/>
    </xf>
    <xf numFmtId="10" fontId="15" fillId="0" borderId="148" xfId="20961" applyNumberFormat="1" applyFont="1" applyFill="1" applyBorder="1" applyAlignment="1">
      <alignment horizontal="left" vertical="center"/>
    </xf>
    <xf numFmtId="165" fontId="7" fillId="0" borderId="14" xfId="7" applyNumberFormat="1" applyFont="1" applyFill="1" applyBorder="1" applyAlignment="1" applyProtection="1">
      <alignment vertical="center"/>
      <protection locked="0"/>
    </xf>
    <xf numFmtId="165" fontId="15" fillId="0" borderId="3" xfId="7" applyNumberFormat="1" applyFont="1" applyFill="1" applyBorder="1"/>
    <xf numFmtId="165" fontId="103" fillId="0" borderId="129" xfId="7" applyNumberFormat="1" applyFont="1" applyFill="1" applyBorder="1" applyAlignment="1">
      <alignment vertical="center"/>
    </xf>
    <xf numFmtId="165" fontId="100" fillId="0" borderId="129" xfId="7" applyNumberFormat="1" applyFont="1" applyFill="1" applyBorder="1"/>
    <xf numFmtId="0" fontId="100" fillId="0" borderId="122" xfId="0" applyFont="1" applyBorder="1" applyAlignment="1">
      <alignment vertical="center" wrapText="1" readingOrder="1"/>
    </xf>
    <xf numFmtId="0" fontId="105" fillId="0" borderId="130" xfId="0" applyFont="1" applyBorder="1" applyAlignment="1">
      <alignment horizontal="left" vertical="center"/>
    </xf>
    <xf numFmtId="0" fontId="103" fillId="0" borderId="129" xfId="0" applyFont="1" applyBorder="1" applyAlignment="1">
      <alignment vertical="center" wrapText="1" readingOrder="1"/>
    </xf>
    <xf numFmtId="165" fontId="139" fillId="0" borderId="129" xfId="7" applyNumberFormat="1" applyFont="1" applyFill="1" applyBorder="1" applyAlignment="1">
      <alignment vertical="center"/>
    </xf>
    <xf numFmtId="165" fontId="7" fillId="0" borderId="147" xfId="7" applyNumberFormat="1" applyFont="1" applyFill="1" applyBorder="1" applyAlignment="1">
      <alignment horizontal="right" vertical="center"/>
    </xf>
    <xf numFmtId="167" fontId="12" fillId="0" borderId="148" xfId="0" applyNumberFormat="1" applyFont="1" applyBorder="1" applyAlignment="1">
      <alignment horizontal="center" vertical="center"/>
    </xf>
    <xf numFmtId="167" fontId="14" fillId="0" borderId="148" xfId="0" applyNumberFormat="1" applyFont="1" applyBorder="1" applyAlignment="1">
      <alignment horizontal="center" vertical="center"/>
    </xf>
    <xf numFmtId="167" fontId="15" fillId="0" borderId="15" xfId="0" applyNumberFormat="1" applyFont="1" applyBorder="1" applyAlignment="1">
      <alignment horizontal="center" vertical="center"/>
    </xf>
    <xf numFmtId="165" fontId="15" fillId="0" borderId="100" xfId="7" applyNumberFormat="1" applyFont="1" applyFill="1" applyBorder="1" applyAlignment="1">
      <alignment vertical="center"/>
    </xf>
    <xf numFmtId="165" fontId="7" fillId="0" borderId="85" xfId="7" applyNumberFormat="1" applyFont="1" applyFill="1" applyBorder="1" applyAlignment="1">
      <alignment vertical="center"/>
    </xf>
    <xf numFmtId="165" fontId="14" fillId="0" borderId="100" xfId="7" applyNumberFormat="1" applyFont="1" applyFill="1" applyBorder="1" applyAlignment="1">
      <alignment vertical="center"/>
    </xf>
    <xf numFmtId="165" fontId="15" fillId="0" borderId="0" xfId="7" applyNumberFormat="1" applyFont="1" applyFill="1" applyBorder="1" applyAlignment="1">
      <alignment vertical="center"/>
    </xf>
    <xf numFmtId="165" fontId="15" fillId="0" borderId="78" xfId="7" applyNumberFormat="1" applyFont="1" applyFill="1" applyBorder="1" applyAlignment="1">
      <alignment vertical="center"/>
    </xf>
    <xf numFmtId="169" fontId="7" fillId="0" borderId="85" xfId="7" applyNumberFormat="1" applyFont="1" applyFill="1" applyBorder="1" applyAlignment="1">
      <alignment vertical="center"/>
    </xf>
    <xf numFmtId="193" fontId="11" fillId="0" borderId="129" xfId="0" applyNumberFormat="1" applyFont="1" applyBorder="1" applyAlignment="1" applyProtection="1">
      <alignment vertical="center"/>
      <protection locked="0"/>
    </xf>
    <xf numFmtId="193" fontId="15" fillId="2" borderId="129" xfId="0" applyNumberFormat="1" applyFont="1" applyFill="1" applyBorder="1" applyAlignment="1" applyProtection="1">
      <alignment vertical="center"/>
      <protection locked="0"/>
    </xf>
    <xf numFmtId="193" fontId="11" fillId="2" borderId="130" xfId="0" applyNumberFormat="1" applyFont="1" applyFill="1" applyBorder="1" applyAlignment="1" applyProtection="1">
      <alignment vertical="center"/>
      <protection locked="0"/>
    </xf>
    <xf numFmtId="0" fontId="94" fillId="0" borderId="142" xfId="0" applyFont="1" applyBorder="1" applyAlignment="1">
      <alignment horizontal="center" vertical="center"/>
    </xf>
    <xf numFmtId="0" fontId="94" fillId="0" borderId="23" xfId="0" applyFont="1" applyBorder="1" applyAlignment="1">
      <alignment horizontal="center" vertical="center"/>
    </xf>
    <xf numFmtId="0" fontId="94" fillId="0" borderId="143" xfId="0" applyFont="1" applyBorder="1" applyAlignment="1">
      <alignment horizontal="center" vertical="center"/>
    </xf>
    <xf numFmtId="0" fontId="121" fillId="0" borderId="52" xfId="0" applyFont="1" applyBorder="1" applyAlignment="1">
      <alignment horizontal="left" vertical="center" wrapText="1"/>
    </xf>
    <xf numFmtId="0" fontId="121" fillId="0" borderId="51" xfId="0" applyFont="1" applyBorder="1" applyAlignment="1">
      <alignment horizontal="left" vertical="center" wrapText="1"/>
    </xf>
    <xf numFmtId="165" fontId="15" fillId="0" borderId="86" xfId="7" applyNumberFormat="1" applyFont="1" applyBorder="1" applyAlignment="1">
      <alignment horizontal="center" vertical="center"/>
    </xf>
    <xf numFmtId="165" fontId="15" fillId="0" borderId="83" xfId="7" applyNumberFormat="1" applyFont="1" applyBorder="1" applyAlignment="1">
      <alignment horizontal="center" vertical="center"/>
    </xf>
    <xf numFmtId="165" fontId="15" fillId="0" borderId="84" xfId="7" applyNumberFormat="1" applyFont="1" applyBorder="1" applyAlignment="1">
      <alignment horizontal="center" vertical="center"/>
    </xf>
    <xf numFmtId="165" fontId="15" fillId="0" borderId="124" xfId="7" applyNumberFormat="1" applyFont="1" applyBorder="1" applyAlignment="1">
      <alignment horizontal="center" vertical="center"/>
    </xf>
    <xf numFmtId="165" fontId="15" fillId="0" borderId="125" xfId="7" applyNumberFormat="1" applyFont="1" applyBorder="1" applyAlignment="1">
      <alignment horizontal="center" vertical="center"/>
    </xf>
    <xf numFmtId="165" fontId="15" fillId="0" borderId="126" xfId="7" applyNumberFormat="1" applyFont="1" applyBorder="1" applyAlignment="1">
      <alignment horizontal="center" vertical="center"/>
    </xf>
    <xf numFmtId="0" fontId="7" fillId="0" borderId="129" xfId="0" applyFont="1" applyBorder="1" applyAlignment="1">
      <alignment horizontal="center" vertical="center"/>
    </xf>
    <xf numFmtId="0" fontId="8" fillId="0" borderId="129" xfId="0" applyFont="1" applyBorder="1" applyAlignment="1">
      <alignment horizontal="center" vertical="center"/>
    </xf>
    <xf numFmtId="0" fontId="15" fillId="0" borderId="129" xfId="0" applyFont="1" applyBorder="1" applyAlignment="1">
      <alignment horizontal="center" vertical="center"/>
    </xf>
    <xf numFmtId="0" fontId="14" fillId="0" borderId="129" xfId="0" applyFont="1" applyBorder="1" applyAlignment="1">
      <alignment horizontal="center" vertical="center" wrapText="1"/>
    </xf>
    <xf numFmtId="0" fontId="120" fillId="0" borderId="123" xfId="0" applyFont="1" applyBorder="1" applyAlignment="1">
      <alignment horizontal="center" vertical="center"/>
    </xf>
    <xf numFmtId="0" fontId="120" fillId="0" borderId="123" xfId="0" applyFont="1" applyBorder="1" applyAlignment="1">
      <alignment horizontal="center" vertical="center" wrapTex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3" xfId="0" applyFont="1" applyBorder="1" applyAlignment="1">
      <alignment vertical="center" wrapText="1"/>
    </xf>
    <xf numFmtId="0" fontId="15" fillId="0" borderId="14" xfId="0" applyFont="1" applyBorder="1" applyAlignment="1">
      <alignment vertical="center"/>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132" xfId="0" applyFont="1" applyBorder="1" applyAlignment="1">
      <alignment horizontal="center" vertical="center"/>
    </xf>
    <xf numFmtId="0" fontId="15" fillId="0" borderId="15" xfId="0" applyFont="1" applyBorder="1" applyAlignment="1">
      <alignment horizontal="center" vertical="center"/>
    </xf>
    <xf numFmtId="0" fontId="14" fillId="35" borderId="104" xfId="0" applyFont="1" applyFill="1" applyBorder="1" applyAlignment="1">
      <alignment horizontal="center" vertical="center" wrapText="1"/>
    </xf>
    <xf numFmtId="0" fontId="14" fillId="35" borderId="22" xfId="0" applyFont="1" applyFill="1" applyBorder="1" applyAlignment="1">
      <alignment horizontal="center" vertical="center" wrapText="1"/>
    </xf>
    <xf numFmtId="0" fontId="14" fillId="35" borderId="101" xfId="0" applyFont="1" applyFill="1" applyBorder="1" applyAlignment="1">
      <alignment horizontal="center" vertical="center" wrapText="1"/>
    </xf>
    <xf numFmtId="0" fontId="14" fillId="35" borderId="84" xfId="0" applyFont="1" applyFill="1" applyBorder="1" applyAlignment="1">
      <alignment horizontal="center" vertical="center" wrapText="1"/>
    </xf>
    <xf numFmtId="0" fontId="7" fillId="3" borderId="53" xfId="13" applyFont="1" applyFill="1" applyBorder="1" applyAlignment="1" applyProtection="1">
      <alignment horizontal="center" vertical="center" wrapText="1"/>
      <protection locked="0"/>
    </xf>
    <xf numFmtId="0" fontId="7" fillId="3" borderId="50" xfId="13" applyFont="1" applyFill="1" applyBorder="1" applyAlignment="1" applyProtection="1">
      <alignment horizontal="center" vertical="center" wrapText="1"/>
      <protection locked="0"/>
    </xf>
    <xf numFmtId="9" fontId="15" fillId="0" borderId="6" xfId="0" applyNumberFormat="1" applyFont="1" applyBorder="1" applyAlignment="1">
      <alignment horizontal="center" vertical="center"/>
    </xf>
    <xf numFmtId="9" fontId="15" fillId="0" borderId="8" xfId="0" applyNumberFormat="1" applyFont="1" applyBorder="1" applyAlignment="1">
      <alignment horizontal="center" vertical="center"/>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165" fontId="8" fillId="3" borderId="10" xfId="1" applyNumberFormat="1" applyFont="1" applyFill="1" applyBorder="1" applyAlignment="1" applyProtection="1">
      <alignment horizontal="center"/>
      <protection locked="0"/>
    </xf>
    <xf numFmtId="165" fontId="8" fillId="3" borderId="11" xfId="1" applyNumberFormat="1" applyFont="1" applyFill="1" applyBorder="1" applyAlignment="1" applyProtection="1">
      <alignment horizontal="center"/>
      <protection locked="0"/>
    </xf>
    <xf numFmtId="165" fontId="8" fillId="3" borderId="12" xfId="1" applyNumberFormat="1" applyFont="1" applyFill="1" applyBorder="1" applyAlignment="1" applyProtection="1">
      <alignment horizontal="center"/>
      <protection locked="0"/>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165" fontId="8" fillId="0" borderId="76" xfId="1" applyNumberFormat="1" applyFont="1" applyFill="1" applyBorder="1" applyAlignment="1" applyProtection="1">
      <alignment horizontal="center" vertical="center" wrapText="1"/>
      <protection locked="0"/>
    </xf>
    <xf numFmtId="165" fontId="8" fillId="0" borderId="77" xfId="1" applyNumberFormat="1" applyFont="1" applyFill="1" applyBorder="1" applyAlignment="1" applyProtection="1">
      <alignment horizontal="center" vertical="center" wrapText="1"/>
      <protection locked="0"/>
    </xf>
    <xf numFmtId="0" fontId="15" fillId="0" borderId="5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6" xfId="0" applyFont="1" applyBorder="1" applyAlignment="1">
      <alignment horizontal="center" wrapText="1"/>
    </xf>
    <xf numFmtId="0" fontId="15" fillId="0" borderId="8" xfId="0" applyFont="1" applyBorder="1" applyAlignment="1">
      <alignment horizontal="center" wrapText="1"/>
    </xf>
    <xf numFmtId="0" fontId="15" fillId="0" borderId="48"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92" xfId="0" applyFont="1" applyBorder="1" applyAlignment="1">
      <alignment horizontal="center" vertical="center" wrapText="1"/>
    </xf>
    <xf numFmtId="0" fontId="13" fillId="0" borderId="46" xfId="0" applyFont="1" applyBorder="1" applyAlignment="1">
      <alignment horizontal="left" vertical="center"/>
    </xf>
    <xf numFmtId="0" fontId="13" fillId="0" borderId="47" xfId="0" applyFont="1" applyBorder="1" applyAlignment="1">
      <alignment horizontal="left"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wrapText="1"/>
    </xf>
    <xf numFmtId="0" fontId="15" fillId="0" borderId="100" xfId="0" applyFont="1" applyBorder="1" applyAlignment="1">
      <alignment horizontal="center" vertical="center" wrapText="1"/>
    </xf>
    <xf numFmtId="0" fontId="8" fillId="0" borderId="107" xfId="0" applyFont="1" applyBorder="1" applyAlignment="1">
      <alignment horizontal="left" vertical="center" wrapText="1"/>
    </xf>
    <xf numFmtId="0" fontId="8" fillId="0" borderId="108" xfId="0" applyFont="1" applyBorder="1" applyAlignment="1">
      <alignment horizontal="left" vertical="center" wrapText="1"/>
    </xf>
    <xf numFmtId="0" fontId="8" fillId="0" borderId="110" xfId="0" applyFont="1" applyBorder="1" applyAlignment="1">
      <alignment horizontal="left" vertical="center" wrapText="1"/>
    </xf>
    <xf numFmtId="0" fontId="8" fillId="0" borderId="111" xfId="0" applyFont="1" applyBorder="1" applyAlignment="1">
      <alignment horizontal="left" vertical="center" wrapText="1"/>
    </xf>
    <xf numFmtId="0" fontId="8" fillId="0" borderId="113" xfId="0" applyFont="1" applyBorder="1" applyAlignment="1">
      <alignment horizontal="left" vertical="center" wrapText="1"/>
    </xf>
    <xf numFmtId="0" fontId="8" fillId="0" borderId="114" xfId="0" applyFont="1" applyBorder="1" applyAlignment="1">
      <alignment horizontal="left" vertical="center" wrapText="1"/>
    </xf>
    <xf numFmtId="0" fontId="14" fillId="0" borderId="128" xfId="0" applyFont="1" applyBorder="1" applyAlignment="1">
      <alignment horizontal="center" vertical="center" wrapText="1"/>
    </xf>
    <xf numFmtId="0" fontId="14" fillId="0" borderId="127" xfId="0" applyFont="1" applyBorder="1" applyAlignment="1">
      <alignment horizontal="center" vertical="center" wrapText="1"/>
    </xf>
    <xf numFmtId="0" fontId="14" fillId="0" borderId="109"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12" xfId="0" applyFont="1" applyBorder="1" applyAlignment="1">
      <alignment horizontal="center" vertical="center" wrapText="1"/>
    </xf>
    <xf numFmtId="0" fontId="14" fillId="0" borderId="9" xfId="0" applyFont="1" applyBorder="1" applyAlignment="1">
      <alignment horizontal="center" vertical="center" wrapText="1"/>
    </xf>
    <xf numFmtId="0" fontId="100" fillId="0" borderId="130" xfId="0" applyFont="1" applyBorder="1" applyAlignment="1">
      <alignment horizontal="center" vertical="center" wrapText="1"/>
    </xf>
    <xf numFmtId="0" fontId="100" fillId="0" borderId="5" xfId="0" applyFont="1" applyBorder="1" applyAlignment="1">
      <alignment horizontal="center" vertical="center" wrapText="1"/>
    </xf>
    <xf numFmtId="0" fontId="103" fillId="0" borderId="107" xfId="0" applyFont="1" applyBorder="1" applyAlignment="1">
      <alignment horizontal="left" vertical="center" wrapText="1"/>
    </xf>
    <xf numFmtId="0" fontId="103" fillId="0" borderId="108" xfId="0" applyFont="1" applyBorder="1" applyAlignment="1">
      <alignment horizontal="left" vertical="center" wrapText="1"/>
    </xf>
    <xf numFmtId="0" fontId="103" fillId="0" borderId="113" xfId="0" applyFont="1" applyBorder="1" applyAlignment="1">
      <alignment horizontal="left" vertical="center" wrapText="1"/>
    </xf>
    <xf numFmtId="0" fontId="103" fillId="0" borderId="114" xfId="0" applyFont="1" applyBorder="1" applyAlignment="1">
      <alignment horizontal="left" vertical="center" wrapText="1"/>
    </xf>
    <xf numFmtId="0" fontId="100" fillId="0" borderId="129" xfId="0" applyFont="1" applyBorder="1" applyAlignment="1">
      <alignment horizontal="center" vertical="center" wrapText="1"/>
    </xf>
    <xf numFmtId="0" fontId="100" fillId="0" borderId="132" xfId="0" applyFont="1" applyBorder="1" applyAlignment="1">
      <alignment horizontal="center" vertical="center" wrapText="1"/>
    </xf>
    <xf numFmtId="0" fontId="100" fillId="0" borderId="131" xfId="0" applyFont="1" applyBorder="1" applyAlignment="1">
      <alignment horizontal="center" vertical="center" wrapText="1"/>
    </xf>
    <xf numFmtId="0" fontId="107" fillId="0" borderId="129" xfId="0" applyFont="1" applyBorder="1" applyAlignment="1">
      <alignment horizontal="center" vertical="center"/>
    </xf>
    <xf numFmtId="0" fontId="102" fillId="0" borderId="128" xfId="0" applyFont="1" applyBorder="1" applyAlignment="1">
      <alignment horizontal="center" vertical="center"/>
    </xf>
    <xf numFmtId="0" fontId="102" fillId="0" borderId="133" xfId="0" applyFont="1" applyBorder="1" applyAlignment="1">
      <alignment horizontal="center" vertical="center"/>
    </xf>
    <xf numFmtId="0" fontId="102" fillId="0" borderId="45" xfId="0" applyFont="1" applyBorder="1" applyAlignment="1">
      <alignment horizontal="center" vertical="center"/>
    </xf>
    <xf numFmtId="0" fontId="102" fillId="0" borderId="9" xfId="0" applyFont="1" applyBorder="1" applyAlignment="1">
      <alignment horizontal="center" vertical="center"/>
    </xf>
    <xf numFmtId="0" fontId="103" fillId="0" borderId="129" xfId="0" applyFont="1" applyBorder="1" applyAlignment="1">
      <alignment horizontal="center" vertical="center" wrapText="1"/>
    </xf>
    <xf numFmtId="0" fontId="103" fillId="0" borderId="128" xfId="0" applyFont="1" applyBorder="1" applyAlignment="1">
      <alignment horizontal="center" vertical="center" wrapText="1"/>
    </xf>
    <xf numFmtId="0" fontId="103" fillId="0" borderId="133" xfId="0" applyFont="1" applyBorder="1" applyAlignment="1">
      <alignment horizontal="center" vertical="center" wrapText="1"/>
    </xf>
    <xf numFmtId="0" fontId="103" fillId="0" borderId="115" xfId="0" applyFont="1" applyBorder="1" applyAlignment="1">
      <alignment horizontal="center" vertical="center" wrapText="1"/>
    </xf>
    <xf numFmtId="0" fontId="103" fillId="0" borderId="116" xfId="0" applyFont="1" applyBorder="1" applyAlignment="1">
      <alignment horizontal="center" vertical="center" wrapText="1"/>
    </xf>
    <xf numFmtId="0" fontId="103" fillId="0" borderId="45" xfId="0" applyFont="1" applyBorder="1" applyAlignment="1">
      <alignment horizontal="center" vertical="center" wrapText="1"/>
    </xf>
    <xf numFmtId="0" fontId="103" fillId="0" borderId="9" xfId="0" applyFont="1" applyBorder="1" applyAlignment="1">
      <alignment horizontal="center" vertical="center" wrapText="1"/>
    </xf>
    <xf numFmtId="0" fontId="100" fillId="0" borderId="134" xfId="0" applyFont="1" applyBorder="1" applyAlignment="1">
      <alignment horizontal="center" vertical="center" wrapText="1"/>
    </xf>
    <xf numFmtId="0" fontId="103" fillId="0" borderId="117" xfId="0" applyFont="1" applyBorder="1" applyAlignment="1">
      <alignment horizontal="center" vertical="center" wrapText="1"/>
    </xf>
    <xf numFmtId="0" fontId="103" fillId="0" borderId="5" xfId="0" applyFont="1" applyBorder="1" applyAlignment="1">
      <alignment horizontal="center" vertical="center" wrapText="1"/>
    </xf>
    <xf numFmtId="0" fontId="100" fillId="0" borderId="117" xfId="0" applyFont="1" applyBorder="1" applyAlignment="1">
      <alignment horizontal="center" vertical="center" wrapText="1"/>
    </xf>
    <xf numFmtId="0" fontId="100" fillId="0" borderId="128" xfId="0" applyFont="1" applyBorder="1" applyAlignment="1">
      <alignment horizontal="center" vertical="center" wrapText="1"/>
    </xf>
    <xf numFmtId="0" fontId="100" fillId="0" borderId="127" xfId="0" applyFont="1" applyBorder="1" applyAlignment="1">
      <alignment horizontal="center" vertical="center" wrapText="1"/>
    </xf>
    <xf numFmtId="0" fontId="100" fillId="0" borderId="133" xfId="0" applyFont="1" applyBorder="1" applyAlignment="1">
      <alignment horizontal="center" vertical="center" wrapText="1"/>
    </xf>
    <xf numFmtId="0" fontId="100" fillId="0" borderId="9" xfId="0" applyFont="1" applyBorder="1" applyAlignment="1">
      <alignment horizontal="center" vertical="center" wrapText="1"/>
    </xf>
    <xf numFmtId="0" fontId="7" fillId="0" borderId="146"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92" xfId="0" applyFont="1" applyBorder="1" applyAlignment="1">
      <alignment horizontal="center" vertical="center" wrapText="1"/>
    </xf>
    <xf numFmtId="0" fontId="8" fillId="0" borderId="46" xfId="0" applyFont="1" applyBorder="1" applyAlignment="1">
      <alignment horizontal="left" vertical="center" wrapText="1"/>
    </xf>
    <xf numFmtId="0" fontId="8" fillId="0" borderId="92" xfId="0" applyFont="1" applyBorder="1" applyAlignment="1">
      <alignment horizontal="left" vertical="center" wrapText="1"/>
    </xf>
    <xf numFmtId="0" fontId="8" fillId="0" borderId="49" xfId="0" applyFont="1" applyBorder="1" applyAlignment="1">
      <alignment horizontal="left" vertical="center" wrapText="1"/>
    </xf>
    <xf numFmtId="0" fontId="8" fillId="0" borderId="78" xfId="0" applyFont="1" applyBorder="1" applyAlignment="1">
      <alignment horizontal="left" vertical="center" wrapText="1"/>
    </xf>
    <xf numFmtId="0" fontId="8" fillId="0" borderId="106" xfId="0" applyFont="1" applyBorder="1" applyAlignment="1">
      <alignment horizontal="left" vertical="center" wrapText="1"/>
    </xf>
    <xf numFmtId="0" fontId="8" fillId="0" borderId="140" xfId="0" applyFont="1" applyBorder="1" applyAlignment="1">
      <alignment horizontal="left" vertical="center" wrapText="1"/>
    </xf>
    <xf numFmtId="0" fontId="7" fillId="0" borderId="130"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55"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44" xfId="0" applyFont="1" applyBorder="1" applyAlignment="1">
      <alignment horizontal="center" vertical="center" wrapText="1"/>
    </xf>
    <xf numFmtId="0" fontId="7" fillId="0" borderId="147" xfId="0" applyFont="1" applyBorder="1" applyAlignment="1">
      <alignment horizontal="center" vertical="center" wrapText="1"/>
    </xf>
    <xf numFmtId="0" fontId="100" fillId="0" borderId="128" xfId="0" applyFont="1" applyBorder="1" applyAlignment="1">
      <alignment horizontal="center" vertical="top" wrapText="1"/>
    </xf>
    <xf numFmtId="0" fontId="100" fillId="0" borderId="127" xfId="0" applyFont="1" applyBorder="1" applyAlignment="1">
      <alignment horizontal="center" vertical="top" wrapText="1"/>
    </xf>
    <xf numFmtId="0" fontId="100" fillId="0" borderId="134" xfId="0" applyFont="1" applyBorder="1" applyAlignment="1">
      <alignment horizontal="center" vertical="top" wrapText="1"/>
    </xf>
    <xf numFmtId="0" fontId="100" fillId="0" borderId="131" xfId="0" applyFont="1" applyBorder="1" applyAlignment="1">
      <alignment horizontal="center" vertical="top" wrapText="1"/>
    </xf>
    <xf numFmtId="0" fontId="95" fillId="0" borderId="118" xfId="0" applyFont="1" applyBorder="1" applyAlignment="1">
      <alignment horizontal="left" vertical="center" wrapText="1"/>
    </xf>
    <xf numFmtId="0" fontId="95" fillId="0" borderId="119" xfId="0" applyFont="1" applyBorder="1" applyAlignment="1">
      <alignment horizontal="left" vertical="center" wrapText="1"/>
    </xf>
    <xf numFmtId="0" fontId="106" fillId="0" borderId="129" xfId="0" applyFont="1" applyBorder="1" applyAlignment="1">
      <alignment horizontal="center" vertical="center"/>
    </xf>
    <xf numFmtId="0" fontId="105" fillId="0" borderId="129" xfId="0" applyFont="1" applyBorder="1" applyAlignment="1">
      <alignment horizontal="center" vertical="center" wrapText="1"/>
    </xf>
    <xf numFmtId="0" fontId="105" fillId="0" borderId="130" xfId="0" applyFont="1" applyBorder="1" applyAlignment="1">
      <alignment horizontal="center" vertical="center" wrapText="1"/>
    </xf>
    <xf numFmtId="0" fontId="95" fillId="0" borderId="56" xfId="0" applyFont="1" applyBorder="1" applyAlignment="1">
      <alignment horizontal="center" vertical="center"/>
    </xf>
    <xf numFmtId="0" fontId="95" fillId="0" borderId="57" xfId="0" applyFont="1" applyBorder="1" applyAlignment="1">
      <alignment horizontal="center" vertical="center"/>
    </xf>
    <xf numFmtId="0" fontId="95" fillId="0" borderId="58" xfId="0" applyFont="1" applyBorder="1" applyAlignment="1">
      <alignment horizontal="center" vertical="center"/>
    </xf>
    <xf numFmtId="0" fontId="96" fillId="0" borderId="85" xfId="0" applyFont="1" applyBorder="1" applyAlignment="1">
      <alignment horizontal="left" vertical="center" wrapText="1"/>
    </xf>
    <xf numFmtId="0" fontId="95" fillId="75" borderId="59" xfId="0" applyFont="1" applyFill="1" applyBorder="1" applyAlignment="1">
      <alignment horizontal="center" vertical="center" wrapText="1"/>
    </xf>
    <xf numFmtId="0" fontId="95" fillId="75" borderId="60" xfId="0" applyFont="1" applyFill="1" applyBorder="1" applyAlignment="1">
      <alignment horizontal="center" vertical="center" wrapText="1"/>
    </xf>
    <xf numFmtId="0" fontId="95" fillId="75" borderId="61" xfId="0" applyFont="1" applyFill="1" applyBorder="1" applyAlignment="1">
      <alignment horizontal="center" vertical="center" wrapText="1"/>
    </xf>
    <xf numFmtId="0" fontId="96" fillId="0" borderId="45" xfId="0" applyFont="1" applyBorder="1" applyAlignment="1">
      <alignment horizontal="left" vertical="center" wrapText="1"/>
    </xf>
    <xf numFmtId="0" fontId="96" fillId="0" borderId="9" xfId="0" applyFont="1" applyBorder="1" applyAlignment="1">
      <alignment horizontal="left" vertical="center" wrapText="1"/>
    </xf>
    <xf numFmtId="0" fontId="96" fillId="0" borderId="86" xfId="0" applyFont="1" applyBorder="1" applyAlignment="1">
      <alignment horizontal="left" vertical="center" wrapText="1"/>
    </xf>
    <xf numFmtId="0" fontId="96" fillId="0" borderId="84" xfId="0" applyFont="1" applyBorder="1" applyAlignment="1">
      <alignment horizontal="left" vertical="center" wrapText="1"/>
    </xf>
    <xf numFmtId="0" fontId="114" fillId="3" borderId="86" xfId="0" applyFont="1" applyFill="1" applyBorder="1" applyAlignment="1">
      <alignment vertical="center" wrapText="1"/>
    </xf>
    <xf numFmtId="0" fontId="114" fillId="3" borderId="84" xfId="0" applyFont="1" applyFill="1" applyBorder="1" applyAlignment="1">
      <alignment vertical="center" wrapText="1"/>
    </xf>
    <xf numFmtId="0" fontId="96" fillId="3" borderId="86" xfId="0" applyFont="1" applyFill="1" applyBorder="1" applyAlignment="1">
      <alignment vertical="center" wrapText="1"/>
    </xf>
    <xf numFmtId="0" fontId="96" fillId="3" borderId="84" xfId="0" applyFont="1" applyFill="1" applyBorder="1" applyAlignment="1">
      <alignment vertical="center" wrapText="1"/>
    </xf>
    <xf numFmtId="0" fontId="96" fillId="0" borderId="86" xfId="0" applyFont="1" applyBorder="1" applyAlignment="1">
      <alignment horizontal="left"/>
    </xf>
    <xf numFmtId="0" fontId="96" fillId="0" borderId="84" xfId="0" applyFont="1" applyBorder="1" applyAlignment="1">
      <alignment horizontal="left"/>
    </xf>
    <xf numFmtId="0" fontId="96" fillId="0" borderId="86" xfId="0" applyFont="1" applyBorder="1" applyAlignment="1">
      <alignment vertical="center" wrapText="1"/>
    </xf>
    <xf numFmtId="0" fontId="96" fillId="0" borderId="84" xfId="0" applyFont="1" applyBorder="1" applyAlignment="1">
      <alignment vertical="center" wrapText="1"/>
    </xf>
    <xf numFmtId="0" fontId="96" fillId="0" borderId="124" xfId="0" applyFont="1" applyBorder="1" applyAlignment="1">
      <alignment horizontal="left" vertical="center" wrapText="1"/>
    </xf>
    <xf numFmtId="0" fontId="96" fillId="0" borderId="125" xfId="0" applyFont="1" applyBorder="1" applyAlignment="1">
      <alignment horizontal="left" vertical="center" wrapText="1"/>
    </xf>
    <xf numFmtId="0" fontId="96" fillId="0" borderId="126" xfId="0" applyFont="1" applyBorder="1" applyAlignment="1">
      <alignment horizontal="left" vertical="center" wrapText="1"/>
    </xf>
    <xf numFmtId="0" fontId="96" fillId="3" borderId="63" xfId="0" applyFont="1" applyFill="1" applyBorder="1" applyAlignment="1">
      <alignment horizontal="left" vertical="center" wrapText="1"/>
    </xf>
    <xf numFmtId="0" fontId="96" fillId="3" borderId="64" xfId="0" applyFont="1" applyFill="1" applyBorder="1" applyAlignment="1">
      <alignment horizontal="left" vertical="center" wrapText="1"/>
    </xf>
    <xf numFmtId="0" fontId="96" fillId="0" borderId="66" xfId="0" applyFont="1" applyBorder="1" applyAlignment="1">
      <alignment horizontal="left" vertical="center" wrapText="1"/>
    </xf>
    <xf numFmtId="0" fontId="96" fillId="0" borderId="67" xfId="0" applyFont="1" applyBorder="1" applyAlignment="1">
      <alignment horizontal="left" vertical="center" wrapText="1"/>
    </xf>
    <xf numFmtId="0" fontId="95" fillId="0" borderId="59" xfId="0" applyFont="1" applyBorder="1" applyAlignment="1">
      <alignment horizontal="center" vertical="center" wrapText="1"/>
    </xf>
    <xf numFmtId="0" fontId="95" fillId="0" borderId="60" xfId="0" applyFont="1" applyBorder="1" applyAlignment="1">
      <alignment horizontal="center" vertical="center" wrapText="1"/>
    </xf>
    <xf numFmtId="0" fontId="95" fillId="0" borderId="61" xfId="0" applyFont="1" applyBorder="1" applyAlignment="1">
      <alignment horizontal="center" vertical="center" wrapText="1"/>
    </xf>
    <xf numFmtId="0" fontId="96" fillId="0" borderId="45" xfId="0" applyFont="1" applyBorder="1" applyAlignment="1">
      <alignment vertical="center" wrapText="1"/>
    </xf>
    <xf numFmtId="0" fontId="96" fillId="0" borderId="9" xfId="0" applyFont="1" applyBorder="1" applyAlignment="1">
      <alignment vertical="center" wrapText="1"/>
    </xf>
    <xf numFmtId="0" fontId="96" fillId="0" borderId="63" xfId="0" applyFont="1" applyBorder="1" applyAlignment="1">
      <alignment horizontal="left" vertical="center" wrapText="1"/>
    </xf>
    <xf numFmtId="0" fontId="96" fillId="0" borderId="64" xfId="0" applyFont="1" applyBorder="1" applyAlignment="1">
      <alignment horizontal="left" vertical="center" wrapText="1"/>
    </xf>
    <xf numFmtId="0" fontId="114" fillId="0" borderId="86" xfId="0" applyFont="1" applyBorder="1" applyAlignment="1">
      <alignment horizontal="left" vertical="center" wrapText="1"/>
    </xf>
    <xf numFmtId="0" fontId="114" fillId="0" borderId="84" xfId="0" applyFont="1" applyBorder="1" applyAlignment="1">
      <alignment horizontal="left" vertical="center" wrapText="1"/>
    </xf>
    <xf numFmtId="0" fontId="96" fillId="3" borderId="86" xfId="0" applyFont="1" applyFill="1" applyBorder="1" applyAlignment="1">
      <alignment horizontal="left" vertical="center" wrapText="1"/>
    </xf>
    <xf numFmtId="0" fontId="96" fillId="3" borderId="84" xfId="0" applyFont="1" applyFill="1" applyBorder="1" applyAlignment="1">
      <alignment horizontal="left" vertical="center" wrapText="1"/>
    </xf>
    <xf numFmtId="0" fontId="95" fillId="75" borderId="68" xfId="0" applyFont="1" applyFill="1" applyBorder="1" applyAlignment="1">
      <alignment horizontal="center" vertical="center" wrapText="1"/>
    </xf>
    <xf numFmtId="0" fontId="95" fillId="75" borderId="0" xfId="0" applyFont="1" applyFill="1" applyAlignment="1">
      <alignment horizontal="center" vertical="center" wrapText="1"/>
    </xf>
    <xf numFmtId="0" fontId="95" fillId="75" borderId="69" xfId="0" applyFont="1" applyFill="1" applyBorder="1" applyAlignment="1">
      <alignment horizontal="center" vertical="center" wrapText="1"/>
    </xf>
    <xf numFmtId="0" fontId="95" fillId="0" borderId="68" xfId="0" applyFont="1" applyBorder="1" applyAlignment="1">
      <alignment horizontal="center" vertical="center" wrapText="1"/>
    </xf>
    <xf numFmtId="0" fontId="95" fillId="0" borderId="0" xfId="0" applyFont="1" applyAlignment="1">
      <alignment horizontal="center" vertical="center" wrapText="1"/>
    </xf>
    <xf numFmtId="0" fontId="95" fillId="0" borderId="69" xfId="0" applyFont="1" applyBorder="1" applyAlignment="1">
      <alignment horizontal="center" vertical="center" wrapText="1"/>
    </xf>
    <xf numFmtId="0" fontId="95" fillId="75" borderId="73" xfId="0" applyFont="1" applyFill="1" applyBorder="1" applyAlignment="1">
      <alignment horizontal="center" vertical="center"/>
    </xf>
    <xf numFmtId="0" fontId="95" fillId="75" borderId="74" xfId="0" applyFont="1" applyFill="1" applyBorder="1" applyAlignment="1">
      <alignment horizontal="center" vertical="center"/>
    </xf>
    <xf numFmtId="0" fontId="95" fillId="75" borderId="75" xfId="0" applyFont="1" applyFill="1" applyBorder="1" applyAlignment="1">
      <alignment horizontal="center" vertical="center"/>
    </xf>
    <xf numFmtId="0" fontId="95" fillId="75" borderId="129" xfId="0" applyFont="1" applyFill="1" applyBorder="1" applyAlignment="1">
      <alignment horizontal="center" vertical="center" wrapText="1"/>
    </xf>
    <xf numFmtId="0" fontId="95" fillId="0" borderId="129" xfId="0" applyFont="1" applyBorder="1" applyAlignment="1">
      <alignment horizontal="center" vertical="center"/>
    </xf>
    <xf numFmtId="0" fontId="96" fillId="0" borderId="132" xfId="13" applyFont="1" applyBorder="1" applyAlignment="1" applyProtection="1">
      <alignment horizontal="left" vertical="top" wrapText="1"/>
      <protection locked="0"/>
    </xf>
    <xf numFmtId="0" fontId="96" fillId="0" borderId="131" xfId="13" applyFont="1" applyBorder="1" applyAlignment="1" applyProtection="1">
      <alignment horizontal="left" vertical="top" wrapText="1"/>
      <protection locked="0"/>
    </xf>
    <xf numFmtId="0" fontId="96" fillId="3" borderId="132" xfId="13" applyFont="1" applyFill="1" applyBorder="1" applyAlignment="1" applyProtection="1">
      <alignment horizontal="left" vertical="top" wrapText="1"/>
      <protection locked="0"/>
    </xf>
    <xf numFmtId="0" fontId="96" fillId="3" borderId="131" xfId="13" applyFont="1" applyFill="1" applyBorder="1" applyAlignment="1" applyProtection="1">
      <alignment horizontal="left" vertical="top" wrapText="1"/>
      <protection locked="0"/>
    </xf>
    <xf numFmtId="0" fontId="95" fillId="0" borderId="71" xfId="0" applyFont="1" applyBorder="1" applyAlignment="1">
      <alignment horizontal="center" vertical="center"/>
    </xf>
    <xf numFmtId="49" fontId="96" fillId="0" borderId="0" xfId="0" applyNumberFormat="1" applyFont="1" applyAlignment="1">
      <alignment horizontal="center" vertical="center"/>
    </xf>
    <xf numFmtId="0" fontId="95" fillId="75" borderId="132" xfId="0" applyFont="1" applyFill="1" applyBorder="1" applyAlignment="1">
      <alignment horizontal="center" vertical="center" wrapText="1"/>
    </xf>
    <xf numFmtId="0" fontId="95" fillId="75" borderId="131" xfId="0" applyFont="1" applyFill="1" applyBorder="1" applyAlignment="1">
      <alignment horizontal="center" vertical="center" wrapText="1"/>
    </xf>
    <xf numFmtId="0" fontId="96" fillId="0" borderId="132" xfId="0" applyFont="1" applyBorder="1" applyAlignment="1">
      <alignment horizontal="left" vertical="center" wrapText="1"/>
    </xf>
    <xf numFmtId="0" fontId="96" fillId="0" borderId="131" xfId="0" applyFont="1" applyBorder="1" applyAlignment="1">
      <alignment horizontal="left" vertical="center" wrapText="1"/>
    </xf>
    <xf numFmtId="0" fontId="96" fillId="0" borderId="129" xfId="0" applyFont="1" applyBorder="1" applyAlignment="1">
      <alignment horizontal="left" vertical="top" wrapText="1"/>
    </xf>
    <xf numFmtId="0" fontId="96" fillId="0" borderId="132" xfId="0" applyFont="1" applyBorder="1" applyAlignment="1">
      <alignment horizontal="left" vertical="top" wrapText="1"/>
    </xf>
    <xf numFmtId="0" fontId="96" fillId="0" borderId="129" xfId="0" applyFont="1" applyBorder="1" applyAlignment="1">
      <alignment horizontal="left" vertical="center" wrapText="1"/>
    </xf>
    <xf numFmtId="0" fontId="96" fillId="0" borderId="129" xfId="0" applyFont="1" applyBorder="1" applyAlignment="1">
      <alignment horizontal="center"/>
    </xf>
    <xf numFmtId="0" fontId="95" fillId="0" borderId="132" xfId="0" applyFont="1" applyBorder="1" applyAlignment="1">
      <alignment horizontal="center" vertical="center" wrapText="1"/>
    </xf>
    <xf numFmtId="0" fontId="95" fillId="0" borderId="131" xfId="0" applyFont="1" applyBorder="1" applyAlignment="1">
      <alignment horizontal="center" vertical="center" wrapText="1"/>
    </xf>
    <xf numFmtId="0" fontId="96" fillId="0" borderId="131" xfId="0" applyFont="1" applyBorder="1" applyAlignment="1">
      <alignment horizontal="left" vertical="top" wrapText="1"/>
    </xf>
  </cellXfs>
  <cellStyles count="21419">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4" xfId="21417" xr:uid="{D970FB31-5F1F-4077-A040-266FA6E88B0F}"/>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3" xfId="20386" xr:uid="{00000000-0005-0000-0000-000063500000}"/>
    <cellStyle name="Note 2 10 3 2" xfId="21220" xr:uid="{00000000-0005-0000-0000-000064500000}"/>
    <cellStyle name="Note 2 10 4" xfId="20387" xr:uid="{00000000-0005-0000-0000-000065500000}"/>
    <cellStyle name="Note 2 10 4 2" xfId="21219" xr:uid="{00000000-0005-0000-0000-000066500000}"/>
    <cellStyle name="Note 2 10 5" xfId="20388" xr:uid="{00000000-0005-0000-0000-000067500000}"/>
    <cellStyle name="Note 2 10 5 2" xfId="21218" xr:uid="{00000000-0005-0000-0000-000068500000}"/>
    <cellStyle name="Note 2 11" xfId="20389" xr:uid="{00000000-0005-0000-0000-000069500000}"/>
    <cellStyle name="Note 2 11 2" xfId="20390" xr:uid="{00000000-0005-0000-0000-00006A500000}"/>
    <cellStyle name="Note 2 11 2 2" xfId="21217" xr:uid="{00000000-0005-0000-0000-00006B500000}"/>
    <cellStyle name="Note 2 11 3" xfId="20391" xr:uid="{00000000-0005-0000-0000-00006C500000}"/>
    <cellStyle name="Note 2 11 3 2" xfId="21216" xr:uid="{00000000-0005-0000-0000-00006D500000}"/>
    <cellStyle name="Note 2 11 4" xfId="20392" xr:uid="{00000000-0005-0000-0000-00006E500000}"/>
    <cellStyle name="Note 2 11 4 2" xfId="21215" xr:uid="{00000000-0005-0000-0000-00006F500000}"/>
    <cellStyle name="Note 2 11 5" xfId="20393" xr:uid="{00000000-0005-0000-0000-000070500000}"/>
    <cellStyle name="Note 2 11 5 2" xfId="21214" xr:uid="{00000000-0005-0000-0000-000071500000}"/>
    <cellStyle name="Note 2 12" xfId="20394" xr:uid="{00000000-0005-0000-0000-000072500000}"/>
    <cellStyle name="Note 2 12 2" xfId="20395" xr:uid="{00000000-0005-0000-0000-000073500000}"/>
    <cellStyle name="Note 2 12 2 2" xfId="21213" xr:uid="{00000000-0005-0000-0000-000074500000}"/>
    <cellStyle name="Note 2 12 3" xfId="20396" xr:uid="{00000000-0005-0000-0000-000075500000}"/>
    <cellStyle name="Note 2 12 3 2" xfId="21212" xr:uid="{00000000-0005-0000-0000-000076500000}"/>
    <cellStyle name="Note 2 12 4" xfId="20397" xr:uid="{00000000-0005-0000-0000-000077500000}"/>
    <cellStyle name="Note 2 12 4 2" xfId="21211" xr:uid="{00000000-0005-0000-0000-000078500000}"/>
    <cellStyle name="Note 2 12 5" xfId="20398" xr:uid="{00000000-0005-0000-0000-000079500000}"/>
    <cellStyle name="Note 2 12 5 2" xfId="21210" xr:uid="{00000000-0005-0000-0000-00007A500000}"/>
    <cellStyle name="Note 2 13" xfId="20399" xr:uid="{00000000-0005-0000-0000-00007B500000}"/>
    <cellStyle name="Note 2 13 2" xfId="20400" xr:uid="{00000000-0005-0000-0000-00007C500000}"/>
    <cellStyle name="Note 2 13 2 2" xfId="21209" xr:uid="{00000000-0005-0000-0000-00007D500000}"/>
    <cellStyle name="Note 2 13 3" xfId="20401" xr:uid="{00000000-0005-0000-0000-00007E500000}"/>
    <cellStyle name="Note 2 13 3 2" xfId="21208" xr:uid="{00000000-0005-0000-0000-00007F500000}"/>
    <cellStyle name="Note 2 13 4" xfId="20402" xr:uid="{00000000-0005-0000-0000-000080500000}"/>
    <cellStyle name="Note 2 13 4 2" xfId="21207" xr:uid="{00000000-0005-0000-0000-000081500000}"/>
    <cellStyle name="Note 2 13 5" xfId="20403" xr:uid="{00000000-0005-0000-0000-000082500000}"/>
    <cellStyle name="Note 2 13 5 2" xfId="21206" xr:uid="{00000000-0005-0000-0000-000083500000}"/>
    <cellStyle name="Note 2 14" xfId="20404" xr:uid="{00000000-0005-0000-0000-000084500000}"/>
    <cellStyle name="Note 2 14 2" xfId="20405" xr:uid="{00000000-0005-0000-0000-000085500000}"/>
    <cellStyle name="Note 2 14 2 2" xfId="21204" xr:uid="{00000000-0005-0000-0000-000086500000}"/>
    <cellStyle name="Note 2 14 3" xfId="21205" xr:uid="{00000000-0005-0000-0000-000087500000}"/>
    <cellStyle name="Note 2 15" xfId="20406" xr:uid="{00000000-0005-0000-0000-000088500000}"/>
    <cellStyle name="Note 2 15 2" xfId="20407" xr:uid="{00000000-0005-0000-0000-000089500000}"/>
    <cellStyle name="Note 2 15 2 2" xfId="21203" xr:uid="{00000000-0005-0000-0000-00008A500000}"/>
    <cellStyle name="Note 2 16" xfId="20408" xr:uid="{00000000-0005-0000-0000-00008B500000}"/>
    <cellStyle name="Note 2 16 2" xfId="21202" xr:uid="{00000000-0005-0000-0000-00008C500000}"/>
    <cellStyle name="Note 2 17" xfId="20409" xr:uid="{00000000-0005-0000-0000-00008D500000}"/>
    <cellStyle name="Note 2 17 2" xfId="21201" xr:uid="{00000000-0005-0000-0000-00008E500000}"/>
    <cellStyle name="Note 2 18" xfId="21222" xr:uid="{00000000-0005-0000-0000-00008F500000}"/>
    <cellStyle name="Note 2 2" xfId="20410" xr:uid="{00000000-0005-0000-0000-000090500000}"/>
    <cellStyle name="Note 2 2 10" xfId="20411" xr:uid="{00000000-0005-0000-0000-000091500000}"/>
    <cellStyle name="Note 2 2 10 2" xfId="21199" xr:uid="{00000000-0005-0000-0000-000092500000}"/>
    <cellStyle name="Note 2 2 11" xfId="21200" xr:uid="{00000000-0005-0000-0000-000093500000}"/>
    <cellStyle name="Note 2 2 2" xfId="20412" xr:uid="{00000000-0005-0000-0000-000094500000}"/>
    <cellStyle name="Note 2 2 2 2" xfId="20413" xr:uid="{00000000-0005-0000-0000-000095500000}"/>
    <cellStyle name="Note 2 2 2 2 2" xfId="21197" xr:uid="{00000000-0005-0000-0000-000096500000}"/>
    <cellStyle name="Note 2 2 2 3" xfId="20414" xr:uid="{00000000-0005-0000-0000-000097500000}"/>
    <cellStyle name="Note 2 2 2 3 2" xfId="21196" xr:uid="{00000000-0005-0000-0000-000098500000}"/>
    <cellStyle name="Note 2 2 2 4" xfId="20415" xr:uid="{00000000-0005-0000-0000-000099500000}"/>
    <cellStyle name="Note 2 2 2 4 2" xfId="21195" xr:uid="{00000000-0005-0000-0000-00009A500000}"/>
    <cellStyle name="Note 2 2 2 5" xfId="20416" xr:uid="{00000000-0005-0000-0000-00009B500000}"/>
    <cellStyle name="Note 2 2 2 5 2" xfId="21194" xr:uid="{00000000-0005-0000-0000-00009C500000}"/>
    <cellStyle name="Note 2 2 2 6" xfId="21198" xr:uid="{00000000-0005-0000-0000-00009D500000}"/>
    <cellStyle name="Note 2 2 3" xfId="20417" xr:uid="{00000000-0005-0000-0000-00009E500000}"/>
    <cellStyle name="Note 2 2 3 2" xfId="20418" xr:uid="{00000000-0005-0000-0000-00009F500000}"/>
    <cellStyle name="Note 2 2 3 2 2" xfId="21193" xr:uid="{00000000-0005-0000-0000-0000A0500000}"/>
    <cellStyle name="Note 2 2 3 3" xfId="20419" xr:uid="{00000000-0005-0000-0000-0000A1500000}"/>
    <cellStyle name="Note 2 2 3 3 2" xfId="21192" xr:uid="{00000000-0005-0000-0000-0000A2500000}"/>
    <cellStyle name="Note 2 2 3 4" xfId="20420" xr:uid="{00000000-0005-0000-0000-0000A3500000}"/>
    <cellStyle name="Note 2 2 3 4 2" xfId="21191" xr:uid="{00000000-0005-0000-0000-0000A4500000}"/>
    <cellStyle name="Note 2 2 3 5" xfId="20421" xr:uid="{00000000-0005-0000-0000-0000A5500000}"/>
    <cellStyle name="Note 2 2 3 5 2" xfId="21190" xr:uid="{00000000-0005-0000-0000-0000A6500000}"/>
    <cellStyle name="Note 2 2 4" xfId="20422" xr:uid="{00000000-0005-0000-0000-0000A7500000}"/>
    <cellStyle name="Note 2 2 4 2" xfId="20423" xr:uid="{00000000-0005-0000-0000-0000A8500000}"/>
    <cellStyle name="Note 2 2 4 2 2" xfId="21188" xr:uid="{00000000-0005-0000-0000-0000A9500000}"/>
    <cellStyle name="Note 2 2 4 3" xfId="20424" xr:uid="{00000000-0005-0000-0000-0000AA500000}"/>
    <cellStyle name="Note 2 2 4 3 2" xfId="21187" xr:uid="{00000000-0005-0000-0000-0000AB500000}"/>
    <cellStyle name="Note 2 2 4 4" xfId="20425" xr:uid="{00000000-0005-0000-0000-0000AC500000}"/>
    <cellStyle name="Note 2 2 4 4 2" xfId="21186" xr:uid="{00000000-0005-0000-0000-0000AD500000}"/>
    <cellStyle name="Note 2 2 4 5" xfId="21189" xr:uid="{00000000-0005-0000-0000-0000AE500000}"/>
    <cellStyle name="Note 2 2 5" xfId="20426" xr:uid="{00000000-0005-0000-0000-0000AF500000}"/>
    <cellStyle name="Note 2 2 5 2" xfId="20427" xr:uid="{00000000-0005-0000-0000-0000B0500000}"/>
    <cellStyle name="Note 2 2 5 2 2" xfId="21184" xr:uid="{00000000-0005-0000-0000-0000B1500000}"/>
    <cellStyle name="Note 2 2 5 3" xfId="20428" xr:uid="{00000000-0005-0000-0000-0000B2500000}"/>
    <cellStyle name="Note 2 2 5 3 2" xfId="21183" xr:uid="{00000000-0005-0000-0000-0000B3500000}"/>
    <cellStyle name="Note 2 2 5 4" xfId="20429" xr:uid="{00000000-0005-0000-0000-0000B4500000}"/>
    <cellStyle name="Note 2 2 5 4 2" xfId="21182" xr:uid="{00000000-0005-0000-0000-0000B5500000}"/>
    <cellStyle name="Note 2 2 5 5" xfId="21185" xr:uid="{00000000-0005-0000-0000-0000B6500000}"/>
    <cellStyle name="Note 2 2 6" xfId="20430" xr:uid="{00000000-0005-0000-0000-0000B7500000}"/>
    <cellStyle name="Note 2 2 6 2" xfId="21181" xr:uid="{00000000-0005-0000-0000-0000B8500000}"/>
    <cellStyle name="Note 2 2 7" xfId="20431" xr:uid="{00000000-0005-0000-0000-0000B9500000}"/>
    <cellStyle name="Note 2 2 7 2" xfId="21180" xr:uid="{00000000-0005-0000-0000-0000BA500000}"/>
    <cellStyle name="Note 2 2 8" xfId="20432" xr:uid="{00000000-0005-0000-0000-0000BB500000}"/>
    <cellStyle name="Note 2 2 8 2" xfId="21179" xr:uid="{00000000-0005-0000-0000-0000BC500000}"/>
    <cellStyle name="Note 2 2 9" xfId="20433" xr:uid="{00000000-0005-0000-0000-0000BD500000}"/>
    <cellStyle name="Note 2 2 9 2" xfId="21178" xr:uid="{00000000-0005-0000-0000-0000BE500000}"/>
    <cellStyle name="Note 2 3" xfId="20434" xr:uid="{00000000-0005-0000-0000-0000BF500000}"/>
    <cellStyle name="Note 2 3 2" xfId="20435" xr:uid="{00000000-0005-0000-0000-0000C0500000}"/>
    <cellStyle name="Note 2 3 2 2" xfId="21177" xr:uid="{00000000-0005-0000-0000-0000C1500000}"/>
    <cellStyle name="Note 2 3 3" xfId="20436" xr:uid="{00000000-0005-0000-0000-0000C2500000}"/>
    <cellStyle name="Note 2 3 3 2" xfId="21176" xr:uid="{00000000-0005-0000-0000-0000C3500000}"/>
    <cellStyle name="Note 2 3 4" xfId="20437" xr:uid="{00000000-0005-0000-0000-0000C4500000}"/>
    <cellStyle name="Note 2 3 4 2" xfId="21175" xr:uid="{00000000-0005-0000-0000-0000C5500000}"/>
    <cellStyle name="Note 2 3 5" xfId="20438" xr:uid="{00000000-0005-0000-0000-0000C6500000}"/>
    <cellStyle name="Note 2 3 5 2" xfId="21174" xr:uid="{00000000-0005-0000-0000-0000C7500000}"/>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3" xfId="20442" xr:uid="{00000000-0005-0000-0000-0000CC500000}"/>
    <cellStyle name="Note 2 4 3 2" xfId="20443" xr:uid="{00000000-0005-0000-0000-0000CD500000}"/>
    <cellStyle name="Note 2 4 3 2 2" xfId="21172" xr:uid="{00000000-0005-0000-0000-0000CE500000}"/>
    <cellStyle name="Note 2 4 4" xfId="20444" xr:uid="{00000000-0005-0000-0000-0000CF500000}"/>
    <cellStyle name="Note 2 4 4 2" xfId="20445" xr:uid="{00000000-0005-0000-0000-0000D0500000}"/>
    <cellStyle name="Note 2 4 4 2 2" xfId="21171" xr:uid="{00000000-0005-0000-0000-0000D1500000}"/>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3" xfId="20452" xr:uid="{00000000-0005-0000-0000-0000DA500000}"/>
    <cellStyle name="Note 2 5 3 2" xfId="20453" xr:uid="{00000000-0005-0000-0000-0000DB500000}"/>
    <cellStyle name="Note 2 5 3 2 2" xfId="21168" xr:uid="{00000000-0005-0000-0000-0000DC500000}"/>
    <cellStyle name="Note 2 5 4" xfId="20454" xr:uid="{00000000-0005-0000-0000-0000DD500000}"/>
    <cellStyle name="Note 2 5 4 2" xfId="20455" xr:uid="{00000000-0005-0000-0000-0000DE500000}"/>
    <cellStyle name="Note 2 5 4 2 2" xfId="21167" xr:uid="{00000000-0005-0000-0000-0000DF50000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3" xfId="20462" xr:uid="{00000000-0005-0000-0000-0000E8500000}"/>
    <cellStyle name="Note 2 6 3 2" xfId="20463" xr:uid="{00000000-0005-0000-0000-0000E9500000}"/>
    <cellStyle name="Note 2 6 3 2 2" xfId="21164" xr:uid="{00000000-0005-0000-0000-0000EA500000}"/>
    <cellStyle name="Note 2 6 4" xfId="20464" xr:uid="{00000000-0005-0000-0000-0000EB500000}"/>
    <cellStyle name="Note 2 6 4 2" xfId="20465" xr:uid="{00000000-0005-0000-0000-0000EC500000}"/>
    <cellStyle name="Note 2 6 4 2 2" xfId="21163" xr:uid="{00000000-0005-0000-0000-0000ED500000}"/>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3" xfId="20472" xr:uid="{00000000-0005-0000-0000-0000F6500000}"/>
    <cellStyle name="Note 2 7 3 2" xfId="20473" xr:uid="{00000000-0005-0000-0000-0000F7500000}"/>
    <cellStyle name="Note 2 7 3 2 2" xfId="21160" xr:uid="{00000000-0005-0000-0000-0000F8500000}"/>
    <cellStyle name="Note 2 7 4" xfId="20474" xr:uid="{00000000-0005-0000-0000-0000F9500000}"/>
    <cellStyle name="Note 2 7 4 2" xfId="20475" xr:uid="{00000000-0005-0000-0000-0000FA500000}"/>
    <cellStyle name="Note 2 7 4 2 2" xfId="21159" xr:uid="{00000000-0005-0000-0000-0000FB500000}"/>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8" xfId="20479" xr:uid="{00000000-0005-0000-0000-000000510000}"/>
    <cellStyle name="Note 2 8 2" xfId="20480" xr:uid="{00000000-0005-0000-0000-000001510000}"/>
    <cellStyle name="Note 2 8 2 2" xfId="21157" xr:uid="{00000000-0005-0000-0000-000002510000}"/>
    <cellStyle name="Note 2 8 3" xfId="20481" xr:uid="{00000000-0005-0000-0000-000003510000}"/>
    <cellStyle name="Note 2 8 3 2" xfId="21156" xr:uid="{00000000-0005-0000-0000-000004510000}"/>
    <cellStyle name="Note 2 8 4" xfId="20482" xr:uid="{00000000-0005-0000-0000-000005510000}"/>
    <cellStyle name="Note 2 8 4 2" xfId="21155" xr:uid="{00000000-0005-0000-0000-000006510000}"/>
    <cellStyle name="Note 2 8 5" xfId="20483" xr:uid="{00000000-0005-0000-0000-000007510000}"/>
    <cellStyle name="Note 2 8 5 2" xfId="21154" xr:uid="{00000000-0005-0000-0000-000008510000}"/>
    <cellStyle name="Note 2 9" xfId="20484" xr:uid="{00000000-0005-0000-0000-000009510000}"/>
    <cellStyle name="Note 2 9 2" xfId="20485" xr:uid="{00000000-0005-0000-0000-00000A510000}"/>
    <cellStyle name="Note 2 9 2 2" xfId="21153" xr:uid="{00000000-0005-0000-0000-00000B510000}"/>
    <cellStyle name="Note 2 9 3" xfId="20486" xr:uid="{00000000-0005-0000-0000-00000C510000}"/>
    <cellStyle name="Note 2 9 3 2" xfId="21152" xr:uid="{00000000-0005-0000-0000-00000D510000}"/>
    <cellStyle name="Note 2 9 4" xfId="20487" xr:uid="{00000000-0005-0000-0000-00000E510000}"/>
    <cellStyle name="Note 2 9 4 2" xfId="21151" xr:uid="{00000000-0005-0000-0000-00000F510000}"/>
    <cellStyle name="Note 2 9 5" xfId="20488" xr:uid="{00000000-0005-0000-0000-000010510000}"/>
    <cellStyle name="Note 2 9 5 2" xfId="21150" xr:uid="{00000000-0005-0000-0000-000011510000}"/>
    <cellStyle name="Note 3 2" xfId="20489" xr:uid="{00000000-0005-0000-0000-000012510000}"/>
    <cellStyle name="Note 3 2 2" xfId="20490" xr:uid="{00000000-0005-0000-0000-000013510000}"/>
    <cellStyle name="Note 3 2 2 2" xfId="21148" xr:uid="{00000000-0005-0000-0000-000014510000}"/>
    <cellStyle name="Note 3 2 3" xfId="20491" xr:uid="{00000000-0005-0000-0000-000015510000}"/>
    <cellStyle name="Note 3 2 4" xfId="21149" xr:uid="{00000000-0005-0000-0000-000016510000}"/>
    <cellStyle name="Note 3 3" xfId="20492" xr:uid="{00000000-0005-0000-0000-000017510000}"/>
    <cellStyle name="Note 3 3 2" xfId="20493" xr:uid="{00000000-0005-0000-0000-000018510000}"/>
    <cellStyle name="Note 3 3 3" xfId="21147" xr:uid="{00000000-0005-0000-0000-000019510000}"/>
    <cellStyle name="Note 3 4" xfId="20494" xr:uid="{00000000-0005-0000-0000-00001A510000}"/>
    <cellStyle name="Note 3 4 2" xfId="21146" xr:uid="{00000000-0005-0000-0000-00001B510000}"/>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3" xfId="20498" xr:uid="{00000000-0005-0000-0000-000020510000}"/>
    <cellStyle name="Note 4 2 4" xfId="21145" xr:uid="{00000000-0005-0000-0000-000021510000}"/>
    <cellStyle name="Note 4 3" xfId="20499" xr:uid="{00000000-0005-0000-0000-000022510000}"/>
    <cellStyle name="Note 4 4" xfId="20500" xr:uid="{00000000-0005-0000-0000-000023510000}"/>
    <cellStyle name="Note 4 4 2" xfId="21143" xr:uid="{00000000-0005-0000-0000-000024510000}"/>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3" xfId="20505" xr:uid="{00000000-0005-0000-0000-00002A510000}"/>
    <cellStyle name="Note 5 3 2" xfId="20506" xr:uid="{00000000-0005-0000-0000-00002B510000}"/>
    <cellStyle name="Note 5 3 3" xfId="21140" xr:uid="{00000000-0005-0000-0000-00002C510000}"/>
    <cellStyle name="Note 5 4" xfId="20507" xr:uid="{00000000-0005-0000-0000-00002D510000}"/>
    <cellStyle name="Note 5 4 2" xfId="21139" xr:uid="{00000000-0005-0000-0000-00002E510000}"/>
    <cellStyle name="Note 5 5" xfId="20508" xr:uid="{00000000-0005-0000-0000-00002F510000}"/>
    <cellStyle name="Note 5 6" xfId="21142" xr:uid="{00000000-0005-0000-0000-000030510000}"/>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3" xfId="20512" xr:uid="{00000000-0005-0000-0000-000035510000}"/>
    <cellStyle name="Note 6 4" xfId="20513" xr:uid="{00000000-0005-0000-0000-000036510000}"/>
    <cellStyle name="Note 6 5" xfId="21138" xr:uid="{00000000-0005-0000-0000-000037510000}"/>
    <cellStyle name="Note 7" xfId="20514" xr:uid="{00000000-0005-0000-0000-000038510000}"/>
    <cellStyle name="Note 7 2" xfId="21136" xr:uid="{00000000-0005-0000-0000-000039510000}"/>
    <cellStyle name="Note 8" xfId="20515" xr:uid="{00000000-0005-0000-0000-00003A510000}"/>
    <cellStyle name="Note 8 2" xfId="20516" xr:uid="{00000000-0005-0000-0000-00003B510000}"/>
    <cellStyle name="Note 8 2 2" xfId="21134" xr:uid="{00000000-0005-0000-0000-00003C510000}"/>
    <cellStyle name="Note 8 3" xfId="21135" xr:uid="{00000000-0005-0000-0000-00003D510000}"/>
    <cellStyle name="Note 9" xfId="20517" xr:uid="{00000000-0005-0000-0000-00003E510000}"/>
    <cellStyle name="Note 9 2" xfId="21133" xr:uid="{00000000-0005-0000-0000-00003F510000}"/>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3" xfId="20531" xr:uid="{00000000-0005-0000-0000-00004F510000}"/>
    <cellStyle name="Output 2 10 3 2" xfId="21129" xr:uid="{00000000-0005-0000-0000-000050510000}"/>
    <cellStyle name="Output 2 10 4" xfId="20532" xr:uid="{00000000-0005-0000-0000-000051510000}"/>
    <cellStyle name="Output 2 10 4 2" xfId="21128" xr:uid="{00000000-0005-0000-0000-000052510000}"/>
    <cellStyle name="Output 2 10 5" xfId="20533" xr:uid="{00000000-0005-0000-0000-000053510000}"/>
    <cellStyle name="Output 2 10 5 2" xfId="21127" xr:uid="{00000000-0005-0000-0000-000054510000}"/>
    <cellStyle name="Output 2 11" xfId="20534" xr:uid="{00000000-0005-0000-0000-000055510000}"/>
    <cellStyle name="Output 2 11 2" xfId="20535" xr:uid="{00000000-0005-0000-0000-000056510000}"/>
    <cellStyle name="Output 2 11 2 2" xfId="21125" xr:uid="{00000000-0005-0000-0000-000057510000}"/>
    <cellStyle name="Output 2 11 3" xfId="20536" xr:uid="{00000000-0005-0000-0000-000058510000}"/>
    <cellStyle name="Output 2 11 3 2" xfId="21124" xr:uid="{00000000-0005-0000-0000-000059510000}"/>
    <cellStyle name="Output 2 11 4" xfId="20537" xr:uid="{00000000-0005-0000-0000-00005A510000}"/>
    <cellStyle name="Output 2 11 4 2" xfId="21123" xr:uid="{00000000-0005-0000-0000-00005B510000}"/>
    <cellStyle name="Output 2 11 5" xfId="20538" xr:uid="{00000000-0005-0000-0000-00005C510000}"/>
    <cellStyle name="Output 2 11 5 2" xfId="21122" xr:uid="{00000000-0005-0000-0000-00005D510000}"/>
    <cellStyle name="Output 2 11 6" xfId="21126" xr:uid="{00000000-0005-0000-0000-00005E510000}"/>
    <cellStyle name="Output 2 12" xfId="20539" xr:uid="{00000000-0005-0000-0000-00005F510000}"/>
    <cellStyle name="Output 2 12 2" xfId="20540" xr:uid="{00000000-0005-0000-0000-000060510000}"/>
    <cellStyle name="Output 2 12 2 2" xfId="21120" xr:uid="{00000000-0005-0000-0000-000061510000}"/>
    <cellStyle name="Output 2 12 3" xfId="20541" xr:uid="{00000000-0005-0000-0000-000062510000}"/>
    <cellStyle name="Output 2 12 3 2" xfId="21119" xr:uid="{00000000-0005-0000-0000-000063510000}"/>
    <cellStyle name="Output 2 12 4" xfId="20542" xr:uid="{00000000-0005-0000-0000-000064510000}"/>
    <cellStyle name="Output 2 12 4 2" xfId="21118" xr:uid="{00000000-0005-0000-0000-000065510000}"/>
    <cellStyle name="Output 2 12 5" xfId="20543" xr:uid="{00000000-0005-0000-0000-000066510000}"/>
    <cellStyle name="Output 2 12 5 2" xfId="21117" xr:uid="{00000000-0005-0000-0000-000067510000}"/>
    <cellStyle name="Output 2 12 6" xfId="21121" xr:uid="{00000000-0005-0000-0000-000068510000}"/>
    <cellStyle name="Output 2 13" xfId="20544" xr:uid="{00000000-0005-0000-0000-000069510000}"/>
    <cellStyle name="Output 2 13 2" xfId="20545" xr:uid="{00000000-0005-0000-0000-00006A510000}"/>
    <cellStyle name="Output 2 13 2 2" xfId="21115" xr:uid="{00000000-0005-0000-0000-00006B510000}"/>
    <cellStyle name="Output 2 13 3" xfId="20546" xr:uid="{00000000-0005-0000-0000-00006C510000}"/>
    <cellStyle name="Output 2 13 3 2" xfId="21114" xr:uid="{00000000-0005-0000-0000-00006D510000}"/>
    <cellStyle name="Output 2 13 4" xfId="20547" xr:uid="{00000000-0005-0000-0000-00006E510000}"/>
    <cellStyle name="Output 2 13 4 2" xfId="21113" xr:uid="{00000000-0005-0000-0000-00006F510000}"/>
    <cellStyle name="Output 2 13 5" xfId="21116" xr:uid="{00000000-0005-0000-0000-000070510000}"/>
    <cellStyle name="Output 2 14" xfId="20548" xr:uid="{00000000-0005-0000-0000-000071510000}"/>
    <cellStyle name="Output 2 14 2" xfId="21112" xr:uid="{00000000-0005-0000-0000-000072510000}"/>
    <cellStyle name="Output 2 15" xfId="20549" xr:uid="{00000000-0005-0000-0000-000073510000}"/>
    <cellStyle name="Output 2 15 2" xfId="21111" xr:uid="{00000000-0005-0000-0000-000074510000}"/>
    <cellStyle name="Output 2 16" xfId="20550" xr:uid="{00000000-0005-0000-0000-000075510000}"/>
    <cellStyle name="Output 2 16 2" xfId="21110" xr:uid="{00000000-0005-0000-0000-000076510000}"/>
    <cellStyle name="Output 2 17" xfId="21131" xr:uid="{00000000-0005-0000-0000-000077510000}"/>
    <cellStyle name="Output 2 2" xfId="20551" xr:uid="{00000000-0005-0000-0000-000078510000}"/>
    <cellStyle name="Output 2 2 10" xfId="21109" xr:uid="{00000000-0005-0000-0000-000079510000}"/>
    <cellStyle name="Output 2 2 2" xfId="20552" xr:uid="{00000000-0005-0000-0000-00007A510000}"/>
    <cellStyle name="Output 2 2 2 2" xfId="20553" xr:uid="{00000000-0005-0000-0000-00007B510000}"/>
    <cellStyle name="Output 2 2 2 2 2" xfId="21107" xr:uid="{00000000-0005-0000-0000-00007C510000}"/>
    <cellStyle name="Output 2 2 2 3" xfId="20554" xr:uid="{00000000-0005-0000-0000-00007D510000}"/>
    <cellStyle name="Output 2 2 2 3 2" xfId="21106" xr:uid="{00000000-0005-0000-0000-00007E510000}"/>
    <cellStyle name="Output 2 2 2 4" xfId="20555" xr:uid="{00000000-0005-0000-0000-00007F510000}"/>
    <cellStyle name="Output 2 2 2 4 2" xfId="21105" xr:uid="{00000000-0005-0000-0000-000080510000}"/>
    <cellStyle name="Output 2 2 2 5" xfId="21108" xr:uid="{00000000-0005-0000-0000-000081510000}"/>
    <cellStyle name="Output 2 2 3" xfId="20556" xr:uid="{00000000-0005-0000-0000-000082510000}"/>
    <cellStyle name="Output 2 2 3 2" xfId="20557" xr:uid="{00000000-0005-0000-0000-000083510000}"/>
    <cellStyle name="Output 2 2 3 2 2" xfId="21103" xr:uid="{00000000-0005-0000-0000-000084510000}"/>
    <cellStyle name="Output 2 2 3 3" xfId="20558" xr:uid="{00000000-0005-0000-0000-000085510000}"/>
    <cellStyle name="Output 2 2 3 3 2" xfId="21102" xr:uid="{00000000-0005-0000-0000-000086510000}"/>
    <cellStyle name="Output 2 2 3 4" xfId="20559" xr:uid="{00000000-0005-0000-0000-000087510000}"/>
    <cellStyle name="Output 2 2 3 4 2" xfId="21101" xr:uid="{00000000-0005-0000-0000-000088510000}"/>
    <cellStyle name="Output 2 2 3 5" xfId="21104" xr:uid="{00000000-0005-0000-0000-000089510000}"/>
    <cellStyle name="Output 2 2 4" xfId="20560" xr:uid="{00000000-0005-0000-0000-00008A510000}"/>
    <cellStyle name="Output 2 2 4 2" xfId="20561" xr:uid="{00000000-0005-0000-0000-00008B510000}"/>
    <cellStyle name="Output 2 2 4 2 2" xfId="21099" xr:uid="{00000000-0005-0000-0000-00008C510000}"/>
    <cellStyle name="Output 2 2 4 3" xfId="20562" xr:uid="{00000000-0005-0000-0000-00008D510000}"/>
    <cellStyle name="Output 2 2 4 3 2" xfId="21098" xr:uid="{00000000-0005-0000-0000-00008E510000}"/>
    <cellStyle name="Output 2 2 4 4" xfId="20563" xr:uid="{00000000-0005-0000-0000-00008F510000}"/>
    <cellStyle name="Output 2 2 4 4 2" xfId="21097" xr:uid="{00000000-0005-0000-0000-000090510000}"/>
    <cellStyle name="Output 2 2 4 5" xfId="21100" xr:uid="{00000000-0005-0000-0000-000091510000}"/>
    <cellStyle name="Output 2 2 5" xfId="20564" xr:uid="{00000000-0005-0000-0000-000092510000}"/>
    <cellStyle name="Output 2 2 5 2" xfId="20565" xr:uid="{00000000-0005-0000-0000-000093510000}"/>
    <cellStyle name="Output 2 2 5 2 2" xfId="21095" xr:uid="{00000000-0005-0000-0000-000094510000}"/>
    <cellStyle name="Output 2 2 5 3" xfId="20566" xr:uid="{00000000-0005-0000-0000-000095510000}"/>
    <cellStyle name="Output 2 2 5 3 2" xfId="21094" xr:uid="{00000000-0005-0000-0000-000096510000}"/>
    <cellStyle name="Output 2 2 5 4" xfId="20567" xr:uid="{00000000-0005-0000-0000-000097510000}"/>
    <cellStyle name="Output 2 2 5 4 2" xfId="21093" xr:uid="{00000000-0005-0000-0000-000098510000}"/>
    <cellStyle name="Output 2 2 5 5" xfId="21096" xr:uid="{00000000-0005-0000-0000-000099510000}"/>
    <cellStyle name="Output 2 2 6" xfId="20568" xr:uid="{00000000-0005-0000-0000-00009A510000}"/>
    <cellStyle name="Output 2 2 6 2" xfId="21092" xr:uid="{00000000-0005-0000-0000-00009B510000}"/>
    <cellStyle name="Output 2 2 7" xfId="20569" xr:uid="{00000000-0005-0000-0000-00009C510000}"/>
    <cellStyle name="Output 2 2 7 2" xfId="21091" xr:uid="{00000000-0005-0000-0000-00009D510000}"/>
    <cellStyle name="Output 2 2 8" xfId="20570" xr:uid="{00000000-0005-0000-0000-00009E510000}"/>
    <cellStyle name="Output 2 2 8 2" xfId="21090" xr:uid="{00000000-0005-0000-0000-00009F510000}"/>
    <cellStyle name="Output 2 2 9" xfId="20571" xr:uid="{00000000-0005-0000-0000-0000A0510000}"/>
    <cellStyle name="Output 2 2 9 2" xfId="21089" xr:uid="{00000000-0005-0000-0000-0000A1510000}"/>
    <cellStyle name="Output 2 3" xfId="20572" xr:uid="{00000000-0005-0000-0000-0000A2510000}"/>
    <cellStyle name="Output 2 3 2" xfId="20573" xr:uid="{00000000-0005-0000-0000-0000A3510000}"/>
    <cellStyle name="Output 2 3 2 2" xfId="21088" xr:uid="{00000000-0005-0000-0000-0000A4510000}"/>
    <cellStyle name="Output 2 3 3" xfId="20574" xr:uid="{00000000-0005-0000-0000-0000A5510000}"/>
    <cellStyle name="Output 2 3 3 2" xfId="21087" xr:uid="{00000000-0005-0000-0000-0000A6510000}"/>
    <cellStyle name="Output 2 3 4" xfId="20575" xr:uid="{00000000-0005-0000-0000-0000A7510000}"/>
    <cellStyle name="Output 2 3 4 2" xfId="21086" xr:uid="{00000000-0005-0000-0000-0000A8510000}"/>
    <cellStyle name="Output 2 3 5" xfId="20576" xr:uid="{00000000-0005-0000-0000-0000A9510000}"/>
    <cellStyle name="Output 2 3 5 2" xfId="21085" xr:uid="{00000000-0005-0000-0000-0000AA510000}"/>
    <cellStyle name="Output 2 4" xfId="20577" xr:uid="{00000000-0005-0000-0000-0000AB510000}"/>
    <cellStyle name="Output 2 4 2" xfId="20578" xr:uid="{00000000-0005-0000-0000-0000AC510000}"/>
    <cellStyle name="Output 2 4 2 2" xfId="21084" xr:uid="{00000000-0005-0000-0000-0000AD510000}"/>
    <cellStyle name="Output 2 4 3" xfId="20579" xr:uid="{00000000-0005-0000-0000-0000AE510000}"/>
    <cellStyle name="Output 2 4 3 2" xfId="21083" xr:uid="{00000000-0005-0000-0000-0000AF510000}"/>
    <cellStyle name="Output 2 4 4" xfId="20580" xr:uid="{00000000-0005-0000-0000-0000B0510000}"/>
    <cellStyle name="Output 2 4 4 2" xfId="21082" xr:uid="{00000000-0005-0000-0000-0000B1510000}"/>
    <cellStyle name="Output 2 4 5" xfId="20581" xr:uid="{00000000-0005-0000-0000-0000B2510000}"/>
    <cellStyle name="Output 2 4 5 2" xfId="21081" xr:uid="{00000000-0005-0000-0000-0000B3510000}"/>
    <cellStyle name="Output 2 5" xfId="20582" xr:uid="{00000000-0005-0000-0000-0000B4510000}"/>
    <cellStyle name="Output 2 5 2" xfId="20583" xr:uid="{00000000-0005-0000-0000-0000B5510000}"/>
    <cellStyle name="Output 2 5 2 2" xfId="21080" xr:uid="{00000000-0005-0000-0000-0000B6510000}"/>
    <cellStyle name="Output 2 5 3" xfId="20584" xr:uid="{00000000-0005-0000-0000-0000B7510000}"/>
    <cellStyle name="Output 2 5 3 2" xfId="21079" xr:uid="{00000000-0005-0000-0000-0000B8510000}"/>
    <cellStyle name="Output 2 5 4" xfId="20585" xr:uid="{00000000-0005-0000-0000-0000B9510000}"/>
    <cellStyle name="Output 2 5 4 2" xfId="21078" xr:uid="{00000000-0005-0000-0000-0000BA510000}"/>
    <cellStyle name="Output 2 5 5" xfId="20586" xr:uid="{00000000-0005-0000-0000-0000BB510000}"/>
    <cellStyle name="Output 2 5 5 2" xfId="21077" xr:uid="{00000000-0005-0000-0000-0000BC510000}"/>
    <cellStyle name="Output 2 6" xfId="20587" xr:uid="{00000000-0005-0000-0000-0000BD510000}"/>
    <cellStyle name="Output 2 6 2" xfId="20588" xr:uid="{00000000-0005-0000-0000-0000BE510000}"/>
    <cellStyle name="Output 2 6 2 2" xfId="21076" xr:uid="{00000000-0005-0000-0000-0000BF510000}"/>
    <cellStyle name="Output 2 6 3" xfId="20589" xr:uid="{00000000-0005-0000-0000-0000C0510000}"/>
    <cellStyle name="Output 2 6 3 2" xfId="21075" xr:uid="{00000000-0005-0000-0000-0000C1510000}"/>
    <cellStyle name="Output 2 6 4" xfId="20590" xr:uid="{00000000-0005-0000-0000-0000C2510000}"/>
    <cellStyle name="Output 2 6 4 2" xfId="21074" xr:uid="{00000000-0005-0000-0000-0000C3510000}"/>
    <cellStyle name="Output 2 6 5" xfId="20591" xr:uid="{00000000-0005-0000-0000-0000C4510000}"/>
    <cellStyle name="Output 2 6 5 2" xfId="21073" xr:uid="{00000000-0005-0000-0000-0000C5510000}"/>
    <cellStyle name="Output 2 7" xfId="20592" xr:uid="{00000000-0005-0000-0000-0000C6510000}"/>
    <cellStyle name="Output 2 7 2" xfId="20593" xr:uid="{00000000-0005-0000-0000-0000C7510000}"/>
    <cellStyle name="Output 2 7 2 2" xfId="21072" xr:uid="{00000000-0005-0000-0000-0000C8510000}"/>
    <cellStyle name="Output 2 7 3" xfId="20594" xr:uid="{00000000-0005-0000-0000-0000C9510000}"/>
    <cellStyle name="Output 2 7 3 2" xfId="21071" xr:uid="{00000000-0005-0000-0000-0000CA510000}"/>
    <cellStyle name="Output 2 7 4" xfId="20595" xr:uid="{00000000-0005-0000-0000-0000CB510000}"/>
    <cellStyle name="Output 2 7 4 2" xfId="21070" xr:uid="{00000000-0005-0000-0000-0000CC510000}"/>
    <cellStyle name="Output 2 7 5" xfId="20596" xr:uid="{00000000-0005-0000-0000-0000CD510000}"/>
    <cellStyle name="Output 2 7 5 2" xfId="21069" xr:uid="{00000000-0005-0000-0000-0000CE510000}"/>
    <cellStyle name="Output 2 8" xfId="20597" xr:uid="{00000000-0005-0000-0000-0000CF510000}"/>
    <cellStyle name="Output 2 8 2" xfId="20598" xr:uid="{00000000-0005-0000-0000-0000D0510000}"/>
    <cellStyle name="Output 2 8 2 2" xfId="21068" xr:uid="{00000000-0005-0000-0000-0000D1510000}"/>
    <cellStyle name="Output 2 8 3" xfId="20599" xr:uid="{00000000-0005-0000-0000-0000D2510000}"/>
    <cellStyle name="Output 2 8 3 2" xfId="21067" xr:uid="{00000000-0005-0000-0000-0000D3510000}"/>
    <cellStyle name="Output 2 8 4" xfId="20600" xr:uid="{00000000-0005-0000-0000-0000D4510000}"/>
    <cellStyle name="Output 2 8 4 2" xfId="21066" xr:uid="{00000000-0005-0000-0000-0000D5510000}"/>
    <cellStyle name="Output 2 8 5" xfId="20601" xr:uid="{00000000-0005-0000-0000-0000D6510000}"/>
    <cellStyle name="Output 2 8 5 2" xfId="21065" xr:uid="{00000000-0005-0000-0000-0000D7510000}"/>
    <cellStyle name="Output 2 9" xfId="20602" xr:uid="{00000000-0005-0000-0000-0000D8510000}"/>
    <cellStyle name="Output 2 9 2" xfId="20603" xr:uid="{00000000-0005-0000-0000-0000D9510000}"/>
    <cellStyle name="Output 2 9 2 2" xfId="21064" xr:uid="{00000000-0005-0000-0000-0000DA510000}"/>
    <cellStyle name="Output 2 9 3" xfId="20604" xr:uid="{00000000-0005-0000-0000-0000DB510000}"/>
    <cellStyle name="Output 2 9 3 2" xfId="21063" xr:uid="{00000000-0005-0000-0000-0000DC510000}"/>
    <cellStyle name="Output 2 9 4" xfId="20605" xr:uid="{00000000-0005-0000-0000-0000DD510000}"/>
    <cellStyle name="Output 2 9 4 2" xfId="21062" xr:uid="{00000000-0005-0000-0000-0000DE510000}"/>
    <cellStyle name="Output 2 9 5" xfId="20606" xr:uid="{00000000-0005-0000-0000-0000DF510000}"/>
    <cellStyle name="Output 2 9 5 2" xfId="21061" xr:uid="{00000000-0005-0000-0000-0000E0510000}"/>
    <cellStyle name="Output 3" xfId="20607" xr:uid="{00000000-0005-0000-0000-0000E1510000}"/>
    <cellStyle name="Output 3 2" xfId="20608" xr:uid="{00000000-0005-0000-0000-0000E2510000}"/>
    <cellStyle name="Output 3 2 2" xfId="21059" xr:uid="{00000000-0005-0000-0000-0000E3510000}"/>
    <cellStyle name="Output 3 3" xfId="20609" xr:uid="{00000000-0005-0000-0000-0000E4510000}"/>
    <cellStyle name="Output 3 3 2" xfId="21058" xr:uid="{00000000-0005-0000-0000-0000E5510000}"/>
    <cellStyle name="Output 3 4" xfId="21060" xr:uid="{00000000-0005-0000-0000-0000E6510000}"/>
    <cellStyle name="Output 4" xfId="20610" xr:uid="{00000000-0005-0000-0000-0000E7510000}"/>
    <cellStyle name="Output 4 2" xfId="20611" xr:uid="{00000000-0005-0000-0000-0000E8510000}"/>
    <cellStyle name="Output 4 2 2" xfId="21056" xr:uid="{00000000-0005-0000-0000-0000E9510000}"/>
    <cellStyle name="Output 4 3" xfId="20612" xr:uid="{00000000-0005-0000-0000-0000EA510000}"/>
    <cellStyle name="Output 4 3 2" xfId="21055" xr:uid="{00000000-0005-0000-0000-0000EB510000}"/>
    <cellStyle name="Output 4 4" xfId="21057" xr:uid="{00000000-0005-0000-0000-0000EC510000}"/>
    <cellStyle name="Output 5" xfId="20613" xr:uid="{00000000-0005-0000-0000-0000ED510000}"/>
    <cellStyle name="Output 5 2" xfId="20614" xr:uid="{00000000-0005-0000-0000-0000EE510000}"/>
    <cellStyle name="Output 5 2 2" xfId="21053" xr:uid="{00000000-0005-0000-0000-0000EF510000}"/>
    <cellStyle name="Output 5 3" xfId="20615" xr:uid="{00000000-0005-0000-0000-0000F0510000}"/>
    <cellStyle name="Output 5 3 2" xfId="21052" xr:uid="{00000000-0005-0000-0000-0000F1510000}"/>
    <cellStyle name="Output 5 4" xfId="21054" xr:uid="{00000000-0005-0000-0000-0000F2510000}"/>
    <cellStyle name="Output 6" xfId="20616" xr:uid="{00000000-0005-0000-0000-0000F3510000}"/>
    <cellStyle name="Output 6 2" xfId="20617" xr:uid="{00000000-0005-0000-0000-0000F4510000}"/>
    <cellStyle name="Output 6 2 2" xfId="21050" xr:uid="{00000000-0005-0000-0000-0000F5510000}"/>
    <cellStyle name="Output 6 3" xfId="20618" xr:uid="{00000000-0005-0000-0000-0000F6510000}"/>
    <cellStyle name="Output 6 3 2" xfId="21049" xr:uid="{00000000-0005-0000-0000-0000F7510000}"/>
    <cellStyle name="Output 6 4" xfId="21051" xr:uid="{00000000-0005-0000-0000-0000F8510000}"/>
    <cellStyle name="Output 7" xfId="20619" xr:uid="{00000000-0005-0000-0000-0000F9510000}"/>
    <cellStyle name="Output 7 2" xfId="21048" xr:uid="{00000000-0005-0000-0000-0000FA51000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22" xfId="21418" xr:uid="{2DD899ED-2E92-48AE-A8DB-D981ACD9D098}"/>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ParameterE" xfId="20787" xr:uid="{00000000-0005-0000-0000-0000A6520000}"/>
    <cellStyle name="showParameterE 2" xfId="21046" xr:uid="{00000000-0005-0000-0000-0000A7520000}"/>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3" xfId="20826" xr:uid="{00000000-0005-0000-0000-0000D0520000}"/>
    <cellStyle name="Total 2 10 3 2" xfId="21043" xr:uid="{00000000-0005-0000-0000-0000D1520000}"/>
    <cellStyle name="Total 2 10 4" xfId="20827" xr:uid="{00000000-0005-0000-0000-0000D2520000}"/>
    <cellStyle name="Total 2 10 4 2" xfId="21042" xr:uid="{00000000-0005-0000-0000-0000D3520000}"/>
    <cellStyle name="Total 2 10 5" xfId="20828" xr:uid="{00000000-0005-0000-0000-0000D4520000}"/>
    <cellStyle name="Total 2 10 5 2" xfId="21041" xr:uid="{00000000-0005-0000-0000-0000D5520000}"/>
    <cellStyle name="Total 2 11" xfId="20829" xr:uid="{00000000-0005-0000-0000-0000D6520000}"/>
    <cellStyle name="Total 2 11 2" xfId="20830" xr:uid="{00000000-0005-0000-0000-0000D7520000}"/>
    <cellStyle name="Total 2 11 2 2" xfId="21039" xr:uid="{00000000-0005-0000-0000-0000D8520000}"/>
    <cellStyle name="Total 2 11 3" xfId="20831" xr:uid="{00000000-0005-0000-0000-0000D9520000}"/>
    <cellStyle name="Total 2 11 3 2" xfId="21038" xr:uid="{00000000-0005-0000-0000-0000DA520000}"/>
    <cellStyle name="Total 2 11 4" xfId="20832" xr:uid="{00000000-0005-0000-0000-0000DB520000}"/>
    <cellStyle name="Total 2 11 4 2" xfId="21037" xr:uid="{00000000-0005-0000-0000-0000DC520000}"/>
    <cellStyle name="Total 2 11 5" xfId="20833" xr:uid="{00000000-0005-0000-0000-0000DD520000}"/>
    <cellStyle name="Total 2 11 5 2" xfId="21036" xr:uid="{00000000-0005-0000-0000-0000DE520000}"/>
    <cellStyle name="Total 2 11 6" xfId="21040" xr:uid="{00000000-0005-0000-0000-0000DF520000}"/>
    <cellStyle name="Total 2 12" xfId="20834" xr:uid="{00000000-0005-0000-0000-0000E0520000}"/>
    <cellStyle name="Total 2 12 2" xfId="20835" xr:uid="{00000000-0005-0000-0000-0000E1520000}"/>
    <cellStyle name="Total 2 12 2 2" xfId="21034" xr:uid="{00000000-0005-0000-0000-0000E2520000}"/>
    <cellStyle name="Total 2 12 3" xfId="20836" xr:uid="{00000000-0005-0000-0000-0000E3520000}"/>
    <cellStyle name="Total 2 12 3 2" xfId="21033" xr:uid="{00000000-0005-0000-0000-0000E4520000}"/>
    <cellStyle name="Total 2 12 4" xfId="20837" xr:uid="{00000000-0005-0000-0000-0000E5520000}"/>
    <cellStyle name="Total 2 12 4 2" xfId="21032" xr:uid="{00000000-0005-0000-0000-0000E6520000}"/>
    <cellStyle name="Total 2 12 5" xfId="20838" xr:uid="{00000000-0005-0000-0000-0000E7520000}"/>
    <cellStyle name="Total 2 12 5 2" xfId="21031" xr:uid="{00000000-0005-0000-0000-0000E8520000}"/>
    <cellStyle name="Total 2 12 6" xfId="21035" xr:uid="{00000000-0005-0000-0000-0000E9520000}"/>
    <cellStyle name="Total 2 13" xfId="20839" xr:uid="{00000000-0005-0000-0000-0000EA520000}"/>
    <cellStyle name="Total 2 13 2" xfId="20840" xr:uid="{00000000-0005-0000-0000-0000EB520000}"/>
    <cellStyle name="Total 2 13 2 2" xfId="21029" xr:uid="{00000000-0005-0000-0000-0000EC520000}"/>
    <cellStyle name="Total 2 13 3" xfId="20841" xr:uid="{00000000-0005-0000-0000-0000ED520000}"/>
    <cellStyle name="Total 2 13 3 2" xfId="21028" xr:uid="{00000000-0005-0000-0000-0000EE520000}"/>
    <cellStyle name="Total 2 13 4" xfId="20842" xr:uid="{00000000-0005-0000-0000-0000EF520000}"/>
    <cellStyle name="Total 2 13 4 2" xfId="21027" xr:uid="{00000000-0005-0000-0000-0000F0520000}"/>
    <cellStyle name="Total 2 13 5" xfId="21030" xr:uid="{00000000-0005-0000-0000-0000F1520000}"/>
    <cellStyle name="Total 2 14" xfId="20843" xr:uid="{00000000-0005-0000-0000-0000F2520000}"/>
    <cellStyle name="Total 2 14 2" xfId="21026" xr:uid="{00000000-0005-0000-0000-0000F3520000}"/>
    <cellStyle name="Total 2 15" xfId="20844" xr:uid="{00000000-0005-0000-0000-0000F4520000}"/>
    <cellStyle name="Total 2 15 2" xfId="21025" xr:uid="{00000000-0005-0000-0000-0000F5520000}"/>
    <cellStyle name="Total 2 16" xfId="20845" xr:uid="{00000000-0005-0000-0000-0000F6520000}"/>
    <cellStyle name="Total 2 16 2" xfId="21024" xr:uid="{00000000-0005-0000-0000-0000F7520000}"/>
    <cellStyle name="Total 2 17" xfId="21045" xr:uid="{00000000-0005-0000-0000-0000F8520000}"/>
    <cellStyle name="Total 2 2" xfId="20846" xr:uid="{00000000-0005-0000-0000-0000F9520000}"/>
    <cellStyle name="Total 2 2 10" xfId="21023" xr:uid="{00000000-0005-0000-0000-0000FA520000}"/>
    <cellStyle name="Total 2 2 2" xfId="20847" xr:uid="{00000000-0005-0000-0000-0000FB520000}"/>
    <cellStyle name="Total 2 2 2 2" xfId="20848" xr:uid="{00000000-0005-0000-0000-0000FC520000}"/>
    <cellStyle name="Total 2 2 2 2 2" xfId="21021" xr:uid="{00000000-0005-0000-0000-0000FD520000}"/>
    <cellStyle name="Total 2 2 2 3" xfId="20849" xr:uid="{00000000-0005-0000-0000-0000FE520000}"/>
    <cellStyle name="Total 2 2 2 3 2" xfId="21020" xr:uid="{00000000-0005-0000-0000-0000FF520000}"/>
    <cellStyle name="Total 2 2 2 4" xfId="20850" xr:uid="{00000000-0005-0000-0000-000000530000}"/>
    <cellStyle name="Total 2 2 2 4 2" xfId="21019" xr:uid="{00000000-0005-0000-0000-000001530000}"/>
    <cellStyle name="Total 2 2 2 5" xfId="21022" xr:uid="{00000000-0005-0000-0000-000002530000}"/>
    <cellStyle name="Total 2 2 3" xfId="20851" xr:uid="{00000000-0005-0000-0000-000003530000}"/>
    <cellStyle name="Total 2 2 3 2" xfId="20852" xr:uid="{00000000-0005-0000-0000-000004530000}"/>
    <cellStyle name="Total 2 2 3 2 2" xfId="21017" xr:uid="{00000000-0005-0000-0000-000005530000}"/>
    <cellStyle name="Total 2 2 3 3" xfId="20853" xr:uid="{00000000-0005-0000-0000-000006530000}"/>
    <cellStyle name="Total 2 2 3 3 2" xfId="21016" xr:uid="{00000000-0005-0000-0000-000007530000}"/>
    <cellStyle name="Total 2 2 3 4" xfId="20854" xr:uid="{00000000-0005-0000-0000-000008530000}"/>
    <cellStyle name="Total 2 2 3 4 2" xfId="21015" xr:uid="{00000000-0005-0000-0000-000009530000}"/>
    <cellStyle name="Total 2 2 3 5" xfId="21018" xr:uid="{00000000-0005-0000-0000-00000A530000}"/>
    <cellStyle name="Total 2 2 4" xfId="20855" xr:uid="{00000000-0005-0000-0000-00000B530000}"/>
    <cellStyle name="Total 2 2 4 2" xfId="20856" xr:uid="{00000000-0005-0000-0000-00000C530000}"/>
    <cellStyle name="Total 2 2 4 2 2" xfId="21013" xr:uid="{00000000-0005-0000-0000-00000D530000}"/>
    <cellStyle name="Total 2 2 4 3" xfId="20857" xr:uid="{00000000-0005-0000-0000-00000E530000}"/>
    <cellStyle name="Total 2 2 4 3 2" xfId="21012" xr:uid="{00000000-0005-0000-0000-00000F530000}"/>
    <cellStyle name="Total 2 2 4 4" xfId="20858" xr:uid="{00000000-0005-0000-0000-000010530000}"/>
    <cellStyle name="Total 2 2 4 4 2" xfId="21011" xr:uid="{00000000-0005-0000-0000-000011530000}"/>
    <cellStyle name="Total 2 2 4 5" xfId="21014" xr:uid="{00000000-0005-0000-0000-000012530000}"/>
    <cellStyle name="Total 2 2 5" xfId="20859" xr:uid="{00000000-0005-0000-0000-000013530000}"/>
    <cellStyle name="Total 2 2 5 2" xfId="20860" xr:uid="{00000000-0005-0000-0000-000014530000}"/>
    <cellStyle name="Total 2 2 5 2 2" xfId="21009" xr:uid="{00000000-0005-0000-0000-000015530000}"/>
    <cellStyle name="Total 2 2 5 3" xfId="20861" xr:uid="{00000000-0005-0000-0000-000016530000}"/>
    <cellStyle name="Total 2 2 5 3 2" xfId="21008" xr:uid="{00000000-0005-0000-0000-000017530000}"/>
    <cellStyle name="Total 2 2 5 4" xfId="20862" xr:uid="{00000000-0005-0000-0000-000018530000}"/>
    <cellStyle name="Total 2 2 5 4 2" xfId="21007" xr:uid="{00000000-0005-0000-0000-000019530000}"/>
    <cellStyle name="Total 2 2 5 5" xfId="21010" xr:uid="{00000000-0005-0000-0000-00001A530000}"/>
    <cellStyle name="Total 2 2 6" xfId="20863" xr:uid="{00000000-0005-0000-0000-00001B530000}"/>
    <cellStyle name="Total 2 2 6 2" xfId="21006" xr:uid="{00000000-0005-0000-0000-00001C530000}"/>
    <cellStyle name="Total 2 2 7" xfId="20864" xr:uid="{00000000-0005-0000-0000-00001D530000}"/>
    <cellStyle name="Total 2 2 7 2" xfId="21005" xr:uid="{00000000-0005-0000-0000-00001E530000}"/>
    <cellStyle name="Total 2 2 8" xfId="20865" xr:uid="{00000000-0005-0000-0000-00001F530000}"/>
    <cellStyle name="Total 2 2 8 2" xfId="21004" xr:uid="{00000000-0005-0000-0000-000020530000}"/>
    <cellStyle name="Total 2 2 9" xfId="20866" xr:uid="{00000000-0005-0000-0000-000021530000}"/>
    <cellStyle name="Total 2 2 9 2" xfId="21003" xr:uid="{00000000-0005-0000-0000-000022530000}"/>
    <cellStyle name="Total 2 3" xfId="20867" xr:uid="{00000000-0005-0000-0000-000023530000}"/>
    <cellStyle name="Total 2 3 2" xfId="20868" xr:uid="{00000000-0005-0000-0000-000024530000}"/>
    <cellStyle name="Total 2 3 2 2" xfId="21002" xr:uid="{00000000-0005-0000-0000-000025530000}"/>
    <cellStyle name="Total 2 3 3" xfId="20869" xr:uid="{00000000-0005-0000-0000-000026530000}"/>
    <cellStyle name="Total 2 3 3 2" xfId="21001" xr:uid="{00000000-0005-0000-0000-000027530000}"/>
    <cellStyle name="Total 2 3 4" xfId="20870" xr:uid="{00000000-0005-0000-0000-000028530000}"/>
    <cellStyle name="Total 2 3 4 2" xfId="21000" xr:uid="{00000000-0005-0000-0000-000029530000}"/>
    <cellStyle name="Total 2 3 5" xfId="20871" xr:uid="{00000000-0005-0000-0000-00002A530000}"/>
    <cellStyle name="Total 2 3 5 2" xfId="20999" xr:uid="{00000000-0005-0000-0000-00002B530000}"/>
    <cellStyle name="Total 2 4" xfId="20872" xr:uid="{00000000-0005-0000-0000-00002C530000}"/>
    <cellStyle name="Total 2 4 2" xfId="20873" xr:uid="{00000000-0005-0000-0000-00002D530000}"/>
    <cellStyle name="Total 2 4 2 2" xfId="20998" xr:uid="{00000000-0005-0000-0000-00002E530000}"/>
    <cellStyle name="Total 2 4 3" xfId="20874" xr:uid="{00000000-0005-0000-0000-00002F530000}"/>
    <cellStyle name="Total 2 4 3 2" xfId="20997" xr:uid="{00000000-0005-0000-0000-000030530000}"/>
    <cellStyle name="Total 2 4 4" xfId="20875" xr:uid="{00000000-0005-0000-0000-000031530000}"/>
    <cellStyle name="Total 2 4 4 2" xfId="20996" xr:uid="{00000000-0005-0000-0000-000032530000}"/>
    <cellStyle name="Total 2 4 5" xfId="20876" xr:uid="{00000000-0005-0000-0000-000033530000}"/>
    <cellStyle name="Total 2 4 5 2" xfId="20995" xr:uid="{00000000-0005-0000-0000-000034530000}"/>
    <cellStyle name="Total 2 5" xfId="20877" xr:uid="{00000000-0005-0000-0000-000035530000}"/>
    <cellStyle name="Total 2 5 2" xfId="20878" xr:uid="{00000000-0005-0000-0000-000036530000}"/>
    <cellStyle name="Total 2 5 2 2" xfId="20994" xr:uid="{00000000-0005-0000-0000-000037530000}"/>
    <cellStyle name="Total 2 5 3" xfId="20879" xr:uid="{00000000-0005-0000-0000-000038530000}"/>
    <cellStyle name="Total 2 5 3 2" xfId="20993" xr:uid="{00000000-0005-0000-0000-000039530000}"/>
    <cellStyle name="Total 2 5 4" xfId="20880" xr:uid="{00000000-0005-0000-0000-00003A530000}"/>
    <cellStyle name="Total 2 5 4 2" xfId="20992" xr:uid="{00000000-0005-0000-0000-00003B530000}"/>
    <cellStyle name="Total 2 5 5" xfId="20881" xr:uid="{00000000-0005-0000-0000-00003C530000}"/>
    <cellStyle name="Total 2 5 5 2" xfId="20991" xr:uid="{00000000-0005-0000-0000-00003D530000}"/>
    <cellStyle name="Total 2 6" xfId="20882" xr:uid="{00000000-0005-0000-0000-00003E530000}"/>
    <cellStyle name="Total 2 6 2" xfId="20883" xr:uid="{00000000-0005-0000-0000-00003F530000}"/>
    <cellStyle name="Total 2 6 2 2" xfId="20990" xr:uid="{00000000-0005-0000-0000-000040530000}"/>
    <cellStyle name="Total 2 6 3" xfId="20884" xr:uid="{00000000-0005-0000-0000-000041530000}"/>
    <cellStyle name="Total 2 6 3 2" xfId="20989" xr:uid="{00000000-0005-0000-0000-000042530000}"/>
    <cellStyle name="Total 2 6 4" xfId="20885" xr:uid="{00000000-0005-0000-0000-000043530000}"/>
    <cellStyle name="Total 2 6 4 2" xfId="20988" xr:uid="{00000000-0005-0000-0000-000044530000}"/>
    <cellStyle name="Total 2 6 5" xfId="20886" xr:uid="{00000000-0005-0000-0000-000045530000}"/>
    <cellStyle name="Total 2 6 5 2" xfId="20987" xr:uid="{00000000-0005-0000-0000-000046530000}"/>
    <cellStyle name="Total 2 7" xfId="20887" xr:uid="{00000000-0005-0000-0000-000047530000}"/>
    <cellStyle name="Total 2 7 2" xfId="20888" xr:uid="{00000000-0005-0000-0000-000048530000}"/>
    <cellStyle name="Total 2 7 2 2" xfId="20986" xr:uid="{00000000-0005-0000-0000-000049530000}"/>
    <cellStyle name="Total 2 7 3" xfId="20889" xr:uid="{00000000-0005-0000-0000-00004A530000}"/>
    <cellStyle name="Total 2 7 3 2" xfId="20985" xr:uid="{00000000-0005-0000-0000-00004B530000}"/>
    <cellStyle name="Total 2 7 4" xfId="20890" xr:uid="{00000000-0005-0000-0000-00004C530000}"/>
    <cellStyle name="Total 2 7 4 2" xfId="20984" xr:uid="{00000000-0005-0000-0000-00004D530000}"/>
    <cellStyle name="Total 2 7 5" xfId="20891" xr:uid="{00000000-0005-0000-0000-00004E530000}"/>
    <cellStyle name="Total 2 7 5 2" xfId="20983" xr:uid="{00000000-0005-0000-0000-00004F530000}"/>
    <cellStyle name="Total 2 8" xfId="20892" xr:uid="{00000000-0005-0000-0000-000050530000}"/>
    <cellStyle name="Total 2 8 2" xfId="20893" xr:uid="{00000000-0005-0000-0000-000051530000}"/>
    <cellStyle name="Total 2 8 2 2" xfId="20982" xr:uid="{00000000-0005-0000-0000-000052530000}"/>
    <cellStyle name="Total 2 8 3" xfId="20894" xr:uid="{00000000-0005-0000-0000-000053530000}"/>
    <cellStyle name="Total 2 8 3 2" xfId="20981" xr:uid="{00000000-0005-0000-0000-000054530000}"/>
    <cellStyle name="Total 2 8 4" xfId="20895" xr:uid="{00000000-0005-0000-0000-000055530000}"/>
    <cellStyle name="Total 2 8 4 2" xfId="20980" xr:uid="{00000000-0005-0000-0000-000056530000}"/>
    <cellStyle name="Total 2 8 5" xfId="20896" xr:uid="{00000000-0005-0000-0000-000057530000}"/>
    <cellStyle name="Total 2 8 5 2" xfId="20979" xr:uid="{00000000-0005-0000-0000-000058530000}"/>
    <cellStyle name="Total 2 9" xfId="20897" xr:uid="{00000000-0005-0000-0000-000059530000}"/>
    <cellStyle name="Total 2 9 2" xfId="20898" xr:uid="{00000000-0005-0000-0000-00005A530000}"/>
    <cellStyle name="Total 2 9 2 2" xfId="20978" xr:uid="{00000000-0005-0000-0000-00005B530000}"/>
    <cellStyle name="Total 2 9 3" xfId="20899" xr:uid="{00000000-0005-0000-0000-00005C530000}"/>
    <cellStyle name="Total 2 9 3 2" xfId="20977" xr:uid="{00000000-0005-0000-0000-00005D530000}"/>
    <cellStyle name="Total 2 9 4" xfId="20900" xr:uid="{00000000-0005-0000-0000-00005E530000}"/>
    <cellStyle name="Total 2 9 4 2" xfId="20976" xr:uid="{00000000-0005-0000-0000-00005F530000}"/>
    <cellStyle name="Total 2 9 5" xfId="20901" xr:uid="{00000000-0005-0000-0000-000060530000}"/>
    <cellStyle name="Total 2 9 5 2" xfId="20975" xr:uid="{00000000-0005-0000-0000-000061530000}"/>
    <cellStyle name="Total 3" xfId="20902" xr:uid="{00000000-0005-0000-0000-000062530000}"/>
    <cellStyle name="Total 3 2" xfId="20903" xr:uid="{00000000-0005-0000-0000-000063530000}"/>
    <cellStyle name="Total 3 2 2" xfId="20973" xr:uid="{00000000-0005-0000-0000-000064530000}"/>
    <cellStyle name="Total 3 3" xfId="20904" xr:uid="{00000000-0005-0000-0000-000065530000}"/>
    <cellStyle name="Total 3 3 2" xfId="20972" xr:uid="{00000000-0005-0000-0000-000066530000}"/>
    <cellStyle name="Total 3 4" xfId="20974" xr:uid="{00000000-0005-0000-0000-000067530000}"/>
    <cellStyle name="Total 4" xfId="20905" xr:uid="{00000000-0005-0000-0000-000068530000}"/>
    <cellStyle name="Total 4 2" xfId="20906" xr:uid="{00000000-0005-0000-0000-000069530000}"/>
    <cellStyle name="Total 4 2 2" xfId="20970" xr:uid="{00000000-0005-0000-0000-00006A530000}"/>
    <cellStyle name="Total 4 3" xfId="20907" xr:uid="{00000000-0005-0000-0000-00006B530000}"/>
    <cellStyle name="Total 4 3 2" xfId="20969" xr:uid="{00000000-0005-0000-0000-00006C530000}"/>
    <cellStyle name="Total 4 4" xfId="20971" xr:uid="{00000000-0005-0000-0000-00006D530000}"/>
    <cellStyle name="Total 5" xfId="20908" xr:uid="{00000000-0005-0000-0000-00006E530000}"/>
    <cellStyle name="Total 5 2" xfId="20909" xr:uid="{00000000-0005-0000-0000-00006F530000}"/>
    <cellStyle name="Total 5 2 2" xfId="20967" xr:uid="{00000000-0005-0000-0000-000070530000}"/>
    <cellStyle name="Total 5 3" xfId="20910" xr:uid="{00000000-0005-0000-0000-000071530000}"/>
    <cellStyle name="Total 5 3 2" xfId="20966" xr:uid="{00000000-0005-0000-0000-000072530000}"/>
    <cellStyle name="Total 5 4" xfId="20968" xr:uid="{00000000-0005-0000-0000-000073530000}"/>
    <cellStyle name="Total 6" xfId="20911" xr:uid="{00000000-0005-0000-0000-000074530000}"/>
    <cellStyle name="Total 6 2" xfId="20912" xr:uid="{00000000-0005-0000-0000-000075530000}"/>
    <cellStyle name="Total 6 2 2" xfId="20964" xr:uid="{00000000-0005-0000-0000-000076530000}"/>
    <cellStyle name="Total 6 3" xfId="20913" xr:uid="{00000000-0005-0000-0000-000077530000}"/>
    <cellStyle name="Total 6 3 2" xfId="20963" xr:uid="{00000000-0005-0000-0000-000078530000}"/>
    <cellStyle name="Total 6 4" xfId="20965" xr:uid="{00000000-0005-0000-0000-000079530000}"/>
    <cellStyle name="Total 7" xfId="20914" xr:uid="{00000000-0005-0000-0000-00007A530000}"/>
    <cellStyle name="Total 7 2" xfId="20962" xr:uid="{00000000-0005-0000-0000-00007B530000}"/>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ystal.g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6"/>
  <sheetViews>
    <sheetView zoomScale="70" zoomScaleNormal="70" workbookViewId="0">
      <pane xSplit="1" ySplit="7" topLeftCell="B8" activePane="bottomRight" state="frozen"/>
      <selection activeCell="C24" sqref="C24"/>
      <selection pane="topRight" activeCell="C24" sqref="C24"/>
      <selection pane="bottomLeft" activeCell="C24" sqref="C24"/>
      <selection pane="bottomRight" activeCell="C24" sqref="C24"/>
    </sheetView>
  </sheetViews>
  <sheetFormatPr defaultRowHeight="14.4"/>
  <cols>
    <col min="1" max="1" width="10.21875" style="9" customWidth="1"/>
    <col min="2" max="2" width="153" style="332" bestFit="1" customWidth="1"/>
    <col min="3" max="3" width="39.44140625" style="318" customWidth="1"/>
    <col min="4" max="6" width="8.88671875" style="318"/>
    <col min="7" max="7" width="25" style="318" customWidth="1"/>
    <col min="8" max="16384" width="8.88671875" style="318"/>
  </cols>
  <sheetData>
    <row r="1" spans="1:3">
      <c r="A1" s="317"/>
      <c r="B1" s="15" t="s">
        <v>131</v>
      </c>
      <c r="C1" s="317"/>
    </row>
    <row r="2" spans="1:3" s="322" customFormat="1">
      <c r="A2" s="319">
        <v>1</v>
      </c>
      <c r="B2" s="320" t="s">
        <v>896</v>
      </c>
      <c r="C2" s="321" t="s">
        <v>946</v>
      </c>
    </row>
    <row r="3" spans="1:3" s="322" customFormat="1">
      <c r="A3" s="319">
        <v>2</v>
      </c>
      <c r="B3" s="323" t="s">
        <v>897</v>
      </c>
      <c r="C3" s="321" t="s">
        <v>947</v>
      </c>
    </row>
    <row r="4" spans="1:3" s="322" customFormat="1">
      <c r="A4" s="319">
        <v>3</v>
      </c>
      <c r="B4" s="323" t="s">
        <v>898</v>
      </c>
      <c r="C4" s="321" t="s">
        <v>948</v>
      </c>
    </row>
    <row r="5" spans="1:3" s="322" customFormat="1">
      <c r="A5" s="324">
        <v>4</v>
      </c>
      <c r="B5" s="325" t="s">
        <v>899</v>
      </c>
      <c r="C5" s="333" t="s">
        <v>949</v>
      </c>
    </row>
    <row r="6" spans="1:3" s="326" customFormat="1" ht="65.25" customHeight="1">
      <c r="A6" s="779" t="s">
        <v>900</v>
      </c>
      <c r="B6" s="780"/>
      <c r="C6" s="780"/>
    </row>
    <row r="7" spans="1:3">
      <c r="A7" s="327" t="s">
        <v>214</v>
      </c>
      <c r="B7" s="33" t="s">
        <v>132</v>
      </c>
    </row>
    <row r="8" spans="1:3">
      <c r="A8" s="276">
        <v>1</v>
      </c>
      <c r="B8" s="328" t="s">
        <v>111</v>
      </c>
    </row>
    <row r="9" spans="1:3">
      <c r="A9" s="276">
        <v>2</v>
      </c>
      <c r="B9" s="328" t="s">
        <v>133</v>
      </c>
    </row>
    <row r="10" spans="1:3">
      <c r="A10" s="276">
        <v>3</v>
      </c>
      <c r="B10" s="328" t="s">
        <v>134</v>
      </c>
    </row>
    <row r="11" spans="1:3">
      <c r="A11" s="276">
        <v>4</v>
      </c>
      <c r="B11" s="328" t="s">
        <v>135</v>
      </c>
    </row>
    <row r="12" spans="1:3">
      <c r="A12" s="276">
        <v>5</v>
      </c>
      <c r="B12" s="328" t="s">
        <v>87</v>
      </c>
    </row>
    <row r="13" spans="1:3">
      <c r="A13" s="276">
        <v>6</v>
      </c>
      <c r="B13" s="155" t="s">
        <v>868</v>
      </c>
    </row>
    <row r="14" spans="1:3">
      <c r="A14" s="276">
        <v>7</v>
      </c>
      <c r="B14" s="328" t="s">
        <v>136</v>
      </c>
    </row>
    <row r="15" spans="1:3">
      <c r="A15" s="276">
        <v>8</v>
      </c>
      <c r="B15" s="328" t="s">
        <v>139</v>
      </c>
    </row>
    <row r="16" spans="1:3">
      <c r="A16" s="276">
        <v>9</v>
      </c>
      <c r="B16" s="328" t="s">
        <v>67</v>
      </c>
    </row>
    <row r="17" spans="1:3">
      <c r="A17" s="156" t="s">
        <v>330</v>
      </c>
      <c r="B17" s="328" t="s">
        <v>312</v>
      </c>
    </row>
    <row r="18" spans="1:3">
      <c r="A18" s="276">
        <v>10</v>
      </c>
      <c r="B18" s="328" t="s">
        <v>140</v>
      </c>
      <c r="C18" s="329"/>
    </row>
    <row r="19" spans="1:3">
      <c r="A19" s="276">
        <v>11</v>
      </c>
      <c r="B19" s="155" t="s">
        <v>127</v>
      </c>
    </row>
    <row r="20" spans="1:3">
      <c r="A20" s="276">
        <v>12</v>
      </c>
      <c r="B20" s="155" t="s">
        <v>124</v>
      </c>
    </row>
    <row r="21" spans="1:3">
      <c r="A21" s="276">
        <v>13</v>
      </c>
      <c r="B21" s="157" t="s">
        <v>256</v>
      </c>
    </row>
    <row r="22" spans="1:3">
      <c r="A22" s="276">
        <v>14</v>
      </c>
      <c r="B22" s="328" t="s">
        <v>307</v>
      </c>
    </row>
    <row r="23" spans="1:3">
      <c r="A23" s="276">
        <v>15</v>
      </c>
      <c r="B23" s="328" t="s">
        <v>66</v>
      </c>
    </row>
    <row r="24" spans="1:3">
      <c r="A24" s="276">
        <v>15.1</v>
      </c>
      <c r="B24" s="328" t="s">
        <v>338</v>
      </c>
    </row>
    <row r="25" spans="1:3">
      <c r="A25" s="330">
        <v>15.2</v>
      </c>
      <c r="B25" s="331" t="s">
        <v>891</v>
      </c>
    </row>
    <row r="26" spans="1:3">
      <c r="A26" s="276">
        <v>16</v>
      </c>
      <c r="B26" s="328" t="s">
        <v>384</v>
      </c>
    </row>
    <row r="27" spans="1:3">
      <c r="A27" s="276">
        <v>17</v>
      </c>
      <c r="B27" s="328" t="s">
        <v>604</v>
      </c>
    </row>
    <row r="28" spans="1:3">
      <c r="A28" s="276">
        <v>18</v>
      </c>
      <c r="B28" s="328" t="s">
        <v>847</v>
      </c>
    </row>
    <row r="29" spans="1:3">
      <c r="A29" s="276">
        <v>19</v>
      </c>
      <c r="B29" s="328" t="s">
        <v>848</v>
      </c>
    </row>
    <row r="30" spans="1:3">
      <c r="A30" s="276">
        <v>20</v>
      </c>
      <c r="B30" s="328" t="s">
        <v>849</v>
      </c>
    </row>
    <row r="31" spans="1:3">
      <c r="A31" s="276">
        <v>21</v>
      </c>
      <c r="B31" s="328" t="s">
        <v>477</v>
      </c>
    </row>
    <row r="32" spans="1:3">
      <c r="A32" s="276">
        <v>22</v>
      </c>
      <c r="B32" s="328" t="s">
        <v>850</v>
      </c>
    </row>
    <row r="33" spans="1:2" ht="27.6">
      <c r="A33" s="276">
        <v>23</v>
      </c>
      <c r="B33" s="155" t="s">
        <v>846</v>
      </c>
    </row>
    <row r="34" spans="1:2">
      <c r="A34" s="276">
        <v>24</v>
      </c>
      <c r="B34" s="328" t="s">
        <v>851</v>
      </c>
    </row>
    <row r="35" spans="1:2">
      <c r="A35" s="276">
        <v>25</v>
      </c>
      <c r="B35" s="328" t="s">
        <v>852</v>
      </c>
    </row>
    <row r="36" spans="1:2">
      <c r="A36" s="276">
        <v>26</v>
      </c>
      <c r="B36" s="328" t="s">
        <v>645</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მიკრო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0" location="'12. CRM'!A1" display="საკრედიტო რისკის მიტიგაცია" xr:uid="{00000000-0004-0000-0000-00000A000000}"/>
    <hyperlink ref="B19" location="'11. CRWA'!A1" display="საკრედიტო რისკის მიხედვით შეწონილი რისკის პოზიციები" xr:uid="{00000000-0004-0000-0000-00000B000000}"/>
    <hyperlink ref="B21"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3"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2"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4" location="'15.1. LR'!A1" display="ლევერიჯის კოეფიციენტი" xr:uid="{00000000-0004-0000-0000-000010000000}"/>
    <hyperlink ref="B26" location="'16. NSFR'!A1" display="წმინდა სტაბილური დაფინანსების კოეფიციენტი" xr:uid="{00000000-0004-0000-0000-000011000000}"/>
    <hyperlink ref="B27"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28"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29"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1" location="'21. NPL'!A1" display="უმოქმედო სესხების ცვლილება" xr:uid="{00000000-0004-0000-0000-000015000000}"/>
    <hyperlink ref="B32"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3"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4"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5"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0" location="'20. Reserves'!A1" display="რეზერვის ცვლილება სესხებზე და კორპორატიულ სავალო ფასიანი ქაღალდებზე" xr:uid="{00000000-0004-0000-0000-00001A000000}"/>
    <hyperlink ref="B36" location="'26. Retail Products'!A1" display="ზოგადი ინფორმაცია საცალო პროდუქტებზე" xr:uid="{00000000-0004-0000-0000-00001B000000}"/>
    <hyperlink ref="B25" location="'15.2. CVA'!A1" display="საკრედიტო გადაფასების კორექტირება" xr:uid="{00000000-0004-0000-0000-00001C000000}"/>
    <hyperlink ref="C5" r:id="rId1" xr:uid="{F67CFD1C-96C9-4B5E-BDC4-E0479CDBC614}"/>
  </hyperlinks>
  <pageMargins left="0.7" right="0.7" top="0.75" bottom="0.75" header="0.3" footer="0.3"/>
  <pageSetup paperSize="9" orientation="portrait" r:id="rId2"/>
  <ignoredErrors>
    <ignoredError sqref="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56"/>
  <sheetViews>
    <sheetView zoomScale="70" zoomScaleNormal="70" workbookViewId="0">
      <pane xSplit="1" ySplit="5" topLeftCell="B6" activePane="bottomRight" state="frozen"/>
      <selection activeCell="C24" sqref="C24"/>
      <selection pane="topRight" activeCell="C24" sqref="C24"/>
      <selection pane="bottomLeft" activeCell="C24" sqref="C24"/>
      <selection pane="bottomRight" activeCell="C6" sqref="C6:C53"/>
    </sheetView>
  </sheetViews>
  <sheetFormatPr defaultRowHeight="14.4"/>
  <cols>
    <col min="1" max="1" width="12.44140625" style="9" customWidth="1"/>
    <col min="2" max="2" width="132.44140625" style="9" customWidth="1"/>
    <col min="3" max="3" width="20" style="9" customWidth="1"/>
    <col min="4" max="4" width="8.88671875" style="318"/>
    <col min="5" max="5" width="13.6640625" style="318" customWidth="1"/>
    <col min="6" max="16384" width="8.88671875" style="318"/>
  </cols>
  <sheetData>
    <row r="1" spans="1:6">
      <c r="A1" s="336" t="s">
        <v>869</v>
      </c>
      <c r="B1" s="338" t="str">
        <f>Info!C2</f>
        <v>კრისტალი</v>
      </c>
      <c r="D1" s="339"/>
      <c r="E1" s="339"/>
      <c r="F1" s="339"/>
    </row>
    <row r="2" spans="1:6" s="334" customFormat="1" ht="15.75" customHeight="1">
      <c r="A2" s="336" t="s">
        <v>88</v>
      </c>
      <c r="B2" s="337">
        <f>'1. key ratios'!B2</f>
        <v>46112</v>
      </c>
    </row>
    <row r="3" spans="1:6" s="334" customFormat="1" ht="15.75" customHeight="1"/>
    <row r="4" spans="1:6" ht="15" thickBot="1">
      <c r="A4" s="9" t="s">
        <v>220</v>
      </c>
      <c r="B4" s="446" t="s">
        <v>67</v>
      </c>
    </row>
    <row r="5" spans="1:6">
      <c r="A5" s="196" t="s">
        <v>25</v>
      </c>
      <c r="B5" s="197"/>
      <c r="C5" s="198" t="s">
        <v>26</v>
      </c>
    </row>
    <row r="6" spans="1:6">
      <c r="A6" s="199">
        <v>1</v>
      </c>
      <c r="B6" s="447" t="s">
        <v>27</v>
      </c>
      <c r="C6" s="456">
        <f>SUM(C7:C11)</f>
        <v>111636235.4213261</v>
      </c>
    </row>
    <row r="7" spans="1:6">
      <c r="A7" s="199">
        <v>2</v>
      </c>
      <c r="B7" s="200" t="s">
        <v>28</v>
      </c>
      <c r="C7" s="755">
        <v>3634576</v>
      </c>
    </row>
    <row r="8" spans="1:6">
      <c r="A8" s="199">
        <v>3</v>
      </c>
      <c r="B8" s="201" t="s">
        <v>29</v>
      </c>
      <c r="C8" s="755">
        <v>22109970.23</v>
      </c>
    </row>
    <row r="9" spans="1:6">
      <c r="A9" s="199">
        <v>4</v>
      </c>
      <c r="B9" s="201" t="s">
        <v>30</v>
      </c>
      <c r="C9" s="755">
        <v>0</v>
      </c>
    </row>
    <row r="10" spans="1:6">
      <c r="A10" s="199">
        <v>5</v>
      </c>
      <c r="B10" s="201" t="s">
        <v>31</v>
      </c>
      <c r="C10" s="755">
        <v>0</v>
      </c>
    </row>
    <row r="11" spans="1:6">
      <c r="A11" s="199">
        <v>6</v>
      </c>
      <c r="B11" s="202" t="s">
        <v>32</v>
      </c>
      <c r="C11" s="755">
        <v>85891689.191326097</v>
      </c>
    </row>
    <row r="12" spans="1:6" s="449" customFormat="1">
      <c r="A12" s="199">
        <v>7</v>
      </c>
      <c r="B12" s="447" t="s">
        <v>33</v>
      </c>
      <c r="C12" s="457">
        <f>SUM(C13:C28)</f>
        <v>8980329.2199999988</v>
      </c>
    </row>
    <row r="13" spans="1:6" s="449" customFormat="1">
      <c r="A13" s="199">
        <v>8</v>
      </c>
      <c r="B13" s="203" t="s">
        <v>34</v>
      </c>
      <c r="C13" s="448">
        <v>0</v>
      </c>
    </row>
    <row r="14" spans="1:6" s="449" customFormat="1" ht="27.6">
      <c r="A14" s="199">
        <v>9</v>
      </c>
      <c r="B14" s="204" t="s">
        <v>35</v>
      </c>
      <c r="C14" s="755">
        <v>0</v>
      </c>
    </row>
    <row r="15" spans="1:6" s="449" customFormat="1">
      <c r="A15" s="199">
        <v>10</v>
      </c>
      <c r="B15" s="205" t="s">
        <v>36</v>
      </c>
      <c r="C15" s="755">
        <v>8430538.2199999988</v>
      </c>
    </row>
    <row r="16" spans="1:6" s="449" customFormat="1">
      <c r="A16" s="199">
        <v>11</v>
      </c>
      <c r="B16" s="206" t="s">
        <v>37</v>
      </c>
      <c r="C16" s="755">
        <v>0</v>
      </c>
    </row>
    <row r="17" spans="1:3" s="449" customFormat="1">
      <c r="A17" s="199">
        <v>12</v>
      </c>
      <c r="B17" s="205" t="s">
        <v>38</v>
      </c>
      <c r="C17" s="755">
        <v>0</v>
      </c>
    </row>
    <row r="18" spans="1:3" s="449" customFormat="1">
      <c r="A18" s="199">
        <v>13</v>
      </c>
      <c r="B18" s="207" t="s">
        <v>908</v>
      </c>
      <c r="C18" s="755">
        <v>0</v>
      </c>
    </row>
    <row r="19" spans="1:3" s="449" customFormat="1">
      <c r="A19" s="199">
        <v>14</v>
      </c>
      <c r="B19" s="205" t="s">
        <v>39</v>
      </c>
      <c r="C19" s="755">
        <v>0</v>
      </c>
    </row>
    <row r="20" spans="1:3" s="449" customFormat="1" ht="27.6">
      <c r="A20" s="199">
        <v>15</v>
      </c>
      <c r="B20" s="205" t="s">
        <v>40</v>
      </c>
      <c r="C20" s="755">
        <v>0</v>
      </c>
    </row>
    <row r="21" spans="1:3" s="449" customFormat="1" ht="27.6">
      <c r="A21" s="199">
        <v>16</v>
      </c>
      <c r="B21" s="206" t="s">
        <v>909</v>
      </c>
      <c r="C21" s="755">
        <v>0</v>
      </c>
    </row>
    <row r="22" spans="1:3" s="449" customFormat="1">
      <c r="A22" s="199">
        <v>17</v>
      </c>
      <c r="B22" s="450" t="s">
        <v>41</v>
      </c>
      <c r="C22" s="755">
        <v>549791</v>
      </c>
    </row>
    <row r="23" spans="1:3" s="449" customFormat="1">
      <c r="A23" s="199">
        <v>18</v>
      </c>
      <c r="B23" s="451" t="s">
        <v>648</v>
      </c>
      <c r="C23" s="448">
        <v>0</v>
      </c>
    </row>
    <row r="24" spans="1:3" s="449" customFormat="1">
      <c r="A24" s="199"/>
      <c r="B24" s="206"/>
      <c r="C24" s="452"/>
    </row>
    <row r="25" spans="1:3" s="449" customFormat="1">
      <c r="A25" s="199"/>
      <c r="B25" s="206"/>
      <c r="C25" s="452"/>
    </row>
    <row r="26" spans="1:3" s="449" customFormat="1" ht="27.6">
      <c r="A26" s="199">
        <v>21</v>
      </c>
      <c r="B26" s="206" t="s">
        <v>42</v>
      </c>
      <c r="C26" s="448">
        <v>0</v>
      </c>
    </row>
    <row r="27" spans="1:3" s="449" customFormat="1">
      <c r="A27" s="199"/>
      <c r="B27" s="206"/>
      <c r="C27" s="452"/>
    </row>
    <row r="28" spans="1:3" s="449" customFormat="1" ht="27.6">
      <c r="A28" s="199">
        <v>23</v>
      </c>
      <c r="B28" s="206" t="s">
        <v>43</v>
      </c>
      <c r="C28" s="448">
        <v>0</v>
      </c>
    </row>
    <row r="29" spans="1:3" s="449" customFormat="1">
      <c r="A29" s="199">
        <v>24</v>
      </c>
      <c r="B29" s="453" t="s">
        <v>22</v>
      </c>
      <c r="C29" s="457">
        <f>C6-C12</f>
        <v>102655906.2013261</v>
      </c>
    </row>
    <row r="30" spans="1:3" s="449" customFormat="1">
      <c r="A30" s="208"/>
      <c r="B30" s="209"/>
      <c r="C30" s="454"/>
    </row>
    <row r="31" spans="1:3" s="449" customFormat="1">
      <c r="A31" s="208">
        <v>25</v>
      </c>
      <c r="B31" s="453" t="s">
        <v>44</v>
      </c>
      <c r="C31" s="457">
        <f>C32+C35</f>
        <v>0</v>
      </c>
    </row>
    <row r="32" spans="1:3" s="449" customFormat="1">
      <c r="A32" s="208">
        <v>26</v>
      </c>
      <c r="B32" s="201" t="s">
        <v>45</v>
      </c>
      <c r="C32" s="455">
        <f>C33+C34</f>
        <v>0</v>
      </c>
    </row>
    <row r="33" spans="1:3" s="449" customFormat="1">
      <c r="A33" s="208">
        <v>27</v>
      </c>
      <c r="B33" s="204" t="s">
        <v>46</v>
      </c>
      <c r="C33" s="448">
        <v>0</v>
      </c>
    </row>
    <row r="34" spans="1:3" s="449" customFormat="1">
      <c r="A34" s="208">
        <v>28</v>
      </c>
      <c r="B34" s="204" t="s">
        <v>47</v>
      </c>
      <c r="C34" s="448">
        <v>0</v>
      </c>
    </row>
    <row r="35" spans="1:3" s="449" customFormat="1">
      <c r="A35" s="208">
        <v>29</v>
      </c>
      <c r="B35" s="201" t="s">
        <v>48</v>
      </c>
      <c r="C35" s="448">
        <v>0</v>
      </c>
    </row>
    <row r="36" spans="1:3" s="449" customFormat="1">
      <c r="A36" s="208">
        <v>30</v>
      </c>
      <c r="B36" s="453" t="s">
        <v>49</v>
      </c>
      <c r="C36" s="457">
        <f>SUM(C37:C41)</f>
        <v>0</v>
      </c>
    </row>
    <row r="37" spans="1:3" s="449" customFormat="1">
      <c r="A37" s="208">
        <v>31</v>
      </c>
      <c r="B37" s="204" t="s">
        <v>50</v>
      </c>
      <c r="C37" s="448">
        <v>0</v>
      </c>
    </row>
    <row r="38" spans="1:3" s="449" customFormat="1">
      <c r="A38" s="208">
        <v>32</v>
      </c>
      <c r="B38" s="205" t="s">
        <v>51</v>
      </c>
      <c r="C38" s="448">
        <v>0</v>
      </c>
    </row>
    <row r="39" spans="1:3" s="449" customFormat="1" ht="27.6">
      <c r="A39" s="208">
        <v>33</v>
      </c>
      <c r="B39" s="204" t="s">
        <v>910</v>
      </c>
      <c r="C39" s="448">
        <v>0</v>
      </c>
    </row>
    <row r="40" spans="1:3" s="449" customFormat="1">
      <c r="A40" s="208"/>
      <c r="B40" s="206"/>
      <c r="C40" s="452"/>
    </row>
    <row r="41" spans="1:3" s="449" customFormat="1" ht="27.6">
      <c r="A41" s="208">
        <v>35</v>
      </c>
      <c r="B41" s="206" t="s">
        <v>52</v>
      </c>
      <c r="C41" s="448">
        <v>0</v>
      </c>
    </row>
    <row r="42" spans="1:3" s="449" customFormat="1">
      <c r="A42" s="208">
        <v>36</v>
      </c>
      <c r="B42" s="453" t="s">
        <v>23</v>
      </c>
      <c r="C42" s="457">
        <f>C31-C36</f>
        <v>0</v>
      </c>
    </row>
    <row r="43" spans="1:3" s="449" customFormat="1">
      <c r="A43" s="208"/>
      <c r="B43" s="209"/>
      <c r="C43" s="454"/>
    </row>
    <row r="44" spans="1:3" s="449" customFormat="1">
      <c r="A44" s="208">
        <v>37</v>
      </c>
      <c r="B44" s="210" t="s">
        <v>53</v>
      </c>
      <c r="C44" s="457">
        <f>SUM(C45:C47)</f>
        <v>25711952</v>
      </c>
    </row>
    <row r="45" spans="1:3" s="449" customFormat="1">
      <c r="A45" s="208">
        <v>38</v>
      </c>
      <c r="B45" s="201" t="s">
        <v>54</v>
      </c>
      <c r="C45" s="755">
        <v>25711952</v>
      </c>
    </row>
    <row r="46" spans="1:3" s="449" customFormat="1">
      <c r="A46" s="208">
        <v>39</v>
      </c>
      <c r="B46" s="201" t="s">
        <v>55</v>
      </c>
      <c r="C46" s="448">
        <v>0</v>
      </c>
    </row>
    <row r="47" spans="1:3" s="449" customFormat="1">
      <c r="A47" s="208">
        <v>40</v>
      </c>
      <c r="B47" s="211" t="s">
        <v>647</v>
      </c>
      <c r="C47" s="448">
        <v>0</v>
      </c>
    </row>
    <row r="48" spans="1:3" s="449" customFormat="1">
      <c r="A48" s="208">
        <v>41</v>
      </c>
      <c r="B48" s="210" t="s">
        <v>56</v>
      </c>
      <c r="C48" s="457">
        <f>SUM(C49:C52)</f>
        <v>0</v>
      </c>
    </row>
    <row r="49" spans="1:3" s="449" customFormat="1">
      <c r="A49" s="208">
        <v>42</v>
      </c>
      <c r="B49" s="204" t="s">
        <v>57</v>
      </c>
      <c r="C49" s="448">
        <v>0</v>
      </c>
    </row>
    <row r="50" spans="1:3" s="449" customFormat="1">
      <c r="A50" s="208">
        <v>43</v>
      </c>
      <c r="B50" s="205" t="s">
        <v>58</v>
      </c>
      <c r="C50" s="448">
        <v>0</v>
      </c>
    </row>
    <row r="51" spans="1:3" s="449" customFormat="1" ht="27.6">
      <c r="A51" s="208">
        <v>44</v>
      </c>
      <c r="B51" s="204" t="s">
        <v>911</v>
      </c>
      <c r="C51" s="448">
        <v>0</v>
      </c>
    </row>
    <row r="52" spans="1:3" s="449" customFormat="1">
      <c r="A52" s="208"/>
      <c r="B52" s="206"/>
      <c r="C52" s="452"/>
    </row>
    <row r="53" spans="1:3" s="449" customFormat="1" ht="15" thickBot="1">
      <c r="A53" s="208">
        <v>46</v>
      </c>
      <c r="B53" s="212" t="s">
        <v>24</v>
      </c>
      <c r="C53" s="458">
        <f>C44-C48</f>
        <v>25711952</v>
      </c>
    </row>
    <row r="56" spans="1:3">
      <c r="B56" s="9" t="s">
        <v>113</v>
      </c>
    </row>
  </sheetData>
  <dataValidations count="1">
    <dataValidation operator="lessThanOrEqual" allowBlank="1" showInputMessage="1" showErrorMessage="1" errorTitle="Should be negative number" error="Should be whole negative number or 0" sqref="C24:C25 C27 C29:C32 C36 C40 C42:C44 C48 C52: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zoomScale="80" zoomScaleNormal="80" workbookViewId="0">
      <selection activeCell="C19" sqref="C19:D21"/>
    </sheetView>
  </sheetViews>
  <sheetFormatPr defaultColWidth="9.21875" defaultRowHeight="13.8"/>
  <cols>
    <col min="1" max="1" width="12.88671875" style="9" customWidth="1"/>
    <col min="2" max="2" width="59" style="9" customWidth="1"/>
    <col min="3" max="3" width="16.77734375" style="9" bestFit="1" customWidth="1"/>
    <col min="4" max="4" width="22.21875" style="9" customWidth="1"/>
    <col min="5" max="5" width="9.21875" style="339"/>
    <col min="6" max="6" width="15.44140625" style="339" bestFit="1" customWidth="1"/>
    <col min="7" max="7" width="14.44140625" style="339" bestFit="1" customWidth="1"/>
    <col min="8" max="16384" width="9.21875" style="339"/>
  </cols>
  <sheetData>
    <row r="1" spans="1:7">
      <c r="A1" s="336" t="s">
        <v>869</v>
      </c>
      <c r="B1" s="338" t="str">
        <f>Info!C2</f>
        <v>კრისტალი</v>
      </c>
    </row>
    <row r="2" spans="1:7" s="334" customFormat="1" ht="15.75" customHeight="1">
      <c r="A2" s="336" t="s">
        <v>88</v>
      </c>
      <c r="B2" s="337">
        <f>'1. key ratios'!B2</f>
        <v>46112</v>
      </c>
    </row>
    <row r="3" spans="1:7" s="334" customFormat="1" ht="15.75" customHeight="1"/>
    <row r="4" spans="1:7" ht="14.4" thickBot="1">
      <c r="A4" s="9" t="s">
        <v>311</v>
      </c>
      <c r="B4" s="213" t="s">
        <v>312</v>
      </c>
    </row>
    <row r="5" spans="1:7" s="10" customFormat="1">
      <c r="A5" s="802" t="s">
        <v>313</v>
      </c>
      <c r="B5" s="803"/>
      <c r="C5" s="214" t="s">
        <v>314</v>
      </c>
      <c r="D5" s="215" t="s">
        <v>315</v>
      </c>
    </row>
    <row r="6" spans="1:7" s="31" customFormat="1">
      <c r="A6" s="216">
        <v>1</v>
      </c>
      <c r="B6" s="217" t="s">
        <v>316</v>
      </c>
      <c r="C6" s="217"/>
      <c r="D6" s="218"/>
    </row>
    <row r="7" spans="1:7" s="31" customFormat="1">
      <c r="A7" s="178" t="s">
        <v>317</v>
      </c>
      <c r="B7" s="219" t="s">
        <v>318</v>
      </c>
      <c r="C7" s="459">
        <v>4.4999999999999998E-2</v>
      </c>
      <c r="D7" s="463">
        <v>30826745.064310338</v>
      </c>
      <c r="F7" s="719"/>
      <c r="G7" s="720"/>
    </row>
    <row r="8" spans="1:7" s="31" customFormat="1">
      <c r="A8" s="178" t="s">
        <v>319</v>
      </c>
      <c r="B8" s="219" t="s">
        <v>320</v>
      </c>
      <c r="C8" s="460">
        <v>0.06</v>
      </c>
      <c r="D8" s="463">
        <v>41102326.752413787</v>
      </c>
    </row>
    <row r="9" spans="1:7" s="31" customFormat="1">
      <c r="A9" s="178" t="s">
        <v>321</v>
      </c>
      <c r="B9" s="219" t="s">
        <v>322</v>
      </c>
      <c r="C9" s="460">
        <v>0.08</v>
      </c>
      <c r="D9" s="463">
        <v>54803102.336551718</v>
      </c>
    </row>
    <row r="10" spans="1:7" s="31" customFormat="1">
      <c r="A10" s="216" t="s">
        <v>323</v>
      </c>
      <c r="B10" s="217" t="s">
        <v>324</v>
      </c>
      <c r="C10" s="222"/>
      <c r="D10" s="223"/>
    </row>
    <row r="11" spans="1:7" s="32" customFormat="1">
      <c r="A11" s="178" t="s">
        <v>325</v>
      </c>
      <c r="B11" s="219" t="s">
        <v>941</v>
      </c>
      <c r="C11" s="460">
        <v>2.5000000000000001E-2</v>
      </c>
      <c r="D11" s="463">
        <v>17125969.480172411</v>
      </c>
    </row>
    <row r="12" spans="1:7" s="32" customFormat="1">
      <c r="A12" s="178" t="s">
        <v>326</v>
      </c>
      <c r="B12" s="219" t="s">
        <v>327</v>
      </c>
      <c r="C12" s="460">
        <v>7.4999999999999997E-3</v>
      </c>
      <c r="D12" s="463">
        <v>5137790.8440517234</v>
      </c>
    </row>
    <row r="13" spans="1:7" s="32" customFormat="1">
      <c r="A13" s="178"/>
      <c r="B13" s="219"/>
      <c r="C13" s="221"/>
      <c r="D13" s="220"/>
    </row>
    <row r="14" spans="1:7" s="31" customFormat="1">
      <c r="A14" s="216" t="s">
        <v>328</v>
      </c>
      <c r="B14" s="217" t="s">
        <v>372</v>
      </c>
      <c r="C14" s="224"/>
      <c r="D14" s="223"/>
    </row>
    <row r="15" spans="1:7" s="31" customFormat="1">
      <c r="A15" s="462" t="s">
        <v>331</v>
      </c>
      <c r="B15" s="219" t="s">
        <v>373</v>
      </c>
      <c r="C15" s="460">
        <v>3.2334075521901068E-2</v>
      </c>
      <c r="D15" s="463">
        <v>22150095.622306701</v>
      </c>
    </row>
    <row r="16" spans="1:7" s="31" customFormat="1">
      <c r="A16" s="462" t="s">
        <v>332</v>
      </c>
      <c r="B16" s="219" t="s">
        <v>334</v>
      </c>
      <c r="C16" s="460">
        <v>3.8414075521901063E-2</v>
      </c>
      <c r="D16" s="463">
        <v>26315131.399884626</v>
      </c>
    </row>
    <row r="17" spans="1:4" s="31" customFormat="1">
      <c r="A17" s="462" t="s">
        <v>333</v>
      </c>
      <c r="B17" s="219" t="s">
        <v>370</v>
      </c>
      <c r="C17" s="460">
        <v>4.6414075521901063E-2</v>
      </c>
      <c r="D17" s="463">
        <v>31795441.6335398</v>
      </c>
    </row>
    <row r="18" spans="1:4" s="10" customFormat="1">
      <c r="A18" s="804" t="s">
        <v>371</v>
      </c>
      <c r="B18" s="805"/>
      <c r="C18" s="225" t="s">
        <v>314</v>
      </c>
      <c r="D18" s="226" t="s">
        <v>315</v>
      </c>
    </row>
    <row r="19" spans="1:4" s="31" customFormat="1">
      <c r="A19" s="227">
        <v>4</v>
      </c>
      <c r="B19" s="219" t="s">
        <v>22</v>
      </c>
      <c r="C19" s="460">
        <v>0.10983407552190107</v>
      </c>
      <c r="D19" s="463">
        <v>75240601.010841176</v>
      </c>
    </row>
    <row r="20" spans="1:4" s="31" customFormat="1">
      <c r="A20" s="227">
        <v>5</v>
      </c>
      <c r="B20" s="219" t="s">
        <v>68</v>
      </c>
      <c r="C20" s="460">
        <v>0.13091407552190107</v>
      </c>
      <c r="D20" s="463">
        <v>89681218.47652255</v>
      </c>
    </row>
    <row r="21" spans="1:4" s="31" customFormat="1" ht="14.4" thickBot="1">
      <c r="A21" s="228" t="s">
        <v>329</v>
      </c>
      <c r="B21" s="229" t="s">
        <v>67</v>
      </c>
      <c r="C21" s="461">
        <v>0.15891407552190107</v>
      </c>
      <c r="D21" s="713">
        <v>108862304.29431565</v>
      </c>
    </row>
    <row r="23" spans="1:4">
      <c r="B23" s="255"/>
    </row>
    <row r="25" spans="1:4">
      <c r="D25" s="671"/>
    </row>
    <row r="26" spans="1:4">
      <c r="D26" s="671"/>
    </row>
    <row r="27" spans="1:4">
      <c r="D27" s="671"/>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8"/>
  <sheetViews>
    <sheetView zoomScale="70" zoomScaleNormal="70" workbookViewId="0">
      <pane xSplit="1" ySplit="5" topLeftCell="B6" activePane="bottomRight" state="frozen"/>
      <selection activeCell="C24" sqref="C24"/>
      <selection pane="topRight" activeCell="C24" sqref="C24"/>
      <selection pane="bottomLeft" activeCell="C24" sqref="C24"/>
      <selection pane="bottomRight" activeCell="C12" sqref="C12"/>
    </sheetView>
  </sheetViews>
  <sheetFormatPr defaultRowHeight="14.4"/>
  <cols>
    <col min="1" max="1" width="12.5546875" style="9" customWidth="1"/>
    <col min="2" max="2" width="91.77734375" style="9" customWidth="1"/>
    <col min="3" max="3" width="53.21875" style="9" customWidth="1"/>
    <col min="4" max="4" width="32.21875" style="9" customWidth="1"/>
    <col min="5" max="16384" width="8.88671875" style="318"/>
  </cols>
  <sheetData>
    <row r="1" spans="1:5">
      <c r="A1" s="336" t="s">
        <v>869</v>
      </c>
      <c r="B1" s="338" t="str">
        <f>Info!C2</f>
        <v>კრისტალი</v>
      </c>
      <c r="E1" s="339"/>
    </row>
    <row r="2" spans="1:5" s="334" customFormat="1" ht="15.75" customHeight="1">
      <c r="A2" s="336" t="s">
        <v>88</v>
      </c>
      <c r="B2" s="337">
        <f>'1. key ratios'!B2</f>
        <v>46112</v>
      </c>
    </row>
    <row r="3" spans="1:5" s="334" customFormat="1" ht="15.75" customHeight="1">
      <c r="A3" s="336"/>
    </row>
    <row r="4" spans="1:5" s="334" customFormat="1" ht="15.75" customHeight="1" thickBot="1">
      <c r="A4" s="334" t="s">
        <v>221</v>
      </c>
      <c r="B4" s="650" t="s">
        <v>140</v>
      </c>
      <c r="D4" s="651" t="s">
        <v>69</v>
      </c>
    </row>
    <row r="5" spans="1:5" ht="28.2" thickBot="1">
      <c r="A5" s="644" t="s">
        <v>25</v>
      </c>
      <c r="B5" s="645" t="s">
        <v>116</v>
      </c>
      <c r="C5" s="646" t="s">
        <v>769</v>
      </c>
      <c r="D5" s="647" t="s">
        <v>141</v>
      </c>
    </row>
    <row r="6" spans="1:5">
      <c r="A6" s="652">
        <v>1</v>
      </c>
      <c r="B6" s="642" t="s">
        <v>763</v>
      </c>
      <c r="C6" s="643">
        <v>53958782.001199998</v>
      </c>
      <c r="D6" s="653"/>
    </row>
    <row r="7" spans="1:5">
      <c r="A7" s="654">
        <v>1.1000000000000001</v>
      </c>
      <c r="B7" s="655" t="s">
        <v>77</v>
      </c>
      <c r="C7" s="634">
        <v>22043931.521100003</v>
      </c>
      <c r="D7" s="656"/>
    </row>
    <row r="8" spans="1:5">
      <c r="A8" s="654">
        <v>1.2</v>
      </c>
      <c r="B8" s="655" t="s">
        <v>78</v>
      </c>
      <c r="C8" s="634">
        <v>27005099.023800001</v>
      </c>
      <c r="D8" s="656"/>
    </row>
    <row r="9" spans="1:5">
      <c r="A9" s="654">
        <v>1.3</v>
      </c>
      <c r="B9" s="655" t="s">
        <v>912</v>
      </c>
      <c r="C9" s="634">
        <v>4909751.4562999997</v>
      </c>
      <c r="D9" s="656"/>
    </row>
    <row r="10" spans="1:5">
      <c r="A10" s="657">
        <v>2</v>
      </c>
      <c r="B10" s="635" t="s">
        <v>652</v>
      </c>
      <c r="C10" s="633">
        <v>0</v>
      </c>
      <c r="D10" s="656"/>
    </row>
    <row r="11" spans="1:5">
      <c r="A11" s="657">
        <v>2.1</v>
      </c>
      <c r="B11" s="658" t="s">
        <v>653</v>
      </c>
      <c r="C11" s="634">
        <v>0</v>
      </c>
      <c r="D11" s="659"/>
    </row>
    <row r="12" spans="1:5" ht="23.55" customHeight="1">
      <c r="A12" s="657">
        <v>3</v>
      </c>
      <c r="B12" s="636" t="s">
        <v>654</v>
      </c>
      <c r="C12" s="633">
        <v>0</v>
      </c>
      <c r="D12" s="659"/>
    </row>
    <row r="13" spans="1:5" ht="22.95" customHeight="1">
      <c r="A13" s="657">
        <v>4</v>
      </c>
      <c r="B13" s="637" t="s">
        <v>655</v>
      </c>
      <c r="C13" s="633">
        <v>0</v>
      </c>
      <c r="D13" s="659"/>
    </row>
    <row r="14" spans="1:5">
      <c r="A14" s="657">
        <v>5</v>
      </c>
      <c r="B14" s="637" t="s">
        <v>656</v>
      </c>
      <c r="C14" s="633">
        <v>0</v>
      </c>
      <c r="D14" s="659"/>
    </row>
    <row r="15" spans="1:5">
      <c r="A15" s="657">
        <v>5.0999999999999996</v>
      </c>
      <c r="B15" s="660" t="s">
        <v>657</v>
      </c>
      <c r="C15" s="634">
        <v>0</v>
      </c>
      <c r="D15" s="659"/>
    </row>
    <row r="16" spans="1:5">
      <c r="A16" s="657">
        <v>5.2</v>
      </c>
      <c r="B16" s="660" t="s">
        <v>500</v>
      </c>
      <c r="C16" s="634">
        <v>0</v>
      </c>
      <c r="D16" s="656"/>
    </row>
    <row r="17" spans="1:4">
      <c r="A17" s="657">
        <v>5.3</v>
      </c>
      <c r="B17" s="660" t="s">
        <v>658</v>
      </c>
      <c r="C17" s="634">
        <v>0</v>
      </c>
      <c r="D17" s="656"/>
    </row>
    <row r="18" spans="1:4">
      <c r="A18" s="657">
        <v>6</v>
      </c>
      <c r="B18" s="636" t="s">
        <v>659</v>
      </c>
      <c r="C18" s="633">
        <v>576770629.00302505</v>
      </c>
      <c r="D18" s="656"/>
    </row>
    <row r="19" spans="1:4">
      <c r="A19" s="657">
        <v>6.1</v>
      </c>
      <c r="B19" s="660" t="s">
        <v>500</v>
      </c>
      <c r="C19" s="634">
        <v>0</v>
      </c>
      <c r="D19" s="656"/>
    </row>
    <row r="20" spans="1:4">
      <c r="A20" s="657">
        <v>6.2</v>
      </c>
      <c r="B20" s="660" t="s">
        <v>658</v>
      </c>
      <c r="C20" s="634">
        <v>576770629.00302505</v>
      </c>
      <c r="D20" s="656"/>
    </row>
    <row r="21" spans="1:4">
      <c r="A21" s="657">
        <v>7</v>
      </c>
      <c r="B21" s="638" t="s">
        <v>660</v>
      </c>
      <c r="C21" s="633">
        <v>549791</v>
      </c>
      <c r="D21" s="659" t="s">
        <v>976</v>
      </c>
    </row>
    <row r="22" spans="1:4">
      <c r="A22" s="657">
        <v>8</v>
      </c>
      <c r="B22" s="638" t="s">
        <v>661</v>
      </c>
      <c r="C22" s="633">
        <v>0</v>
      </c>
      <c r="D22" s="656"/>
    </row>
    <row r="23" spans="1:4">
      <c r="A23" s="657">
        <v>9</v>
      </c>
      <c r="B23" s="637" t="s">
        <v>662</v>
      </c>
      <c r="C23" s="633">
        <v>25004401.72000001</v>
      </c>
      <c r="D23" s="764"/>
    </row>
    <row r="24" spans="1:4">
      <c r="A24" s="657">
        <v>9.1</v>
      </c>
      <c r="B24" s="661" t="s">
        <v>663</v>
      </c>
      <c r="C24" s="634">
        <v>25004401.72000001</v>
      </c>
      <c r="D24" s="656"/>
    </row>
    <row r="25" spans="1:4">
      <c r="A25" s="657">
        <v>9.1999999999999993</v>
      </c>
      <c r="B25" s="661" t="s">
        <v>664</v>
      </c>
      <c r="C25" s="633">
        <v>0</v>
      </c>
      <c r="D25" s="765"/>
    </row>
    <row r="26" spans="1:4">
      <c r="A26" s="657">
        <v>10</v>
      </c>
      <c r="B26" s="637" t="s">
        <v>36</v>
      </c>
      <c r="C26" s="633">
        <v>8430538.2199999988</v>
      </c>
      <c r="D26" s="659" t="s">
        <v>975</v>
      </c>
    </row>
    <row r="27" spans="1:4">
      <c r="A27" s="657">
        <v>10.1</v>
      </c>
      <c r="B27" s="661" t="s">
        <v>665</v>
      </c>
      <c r="C27" s="634">
        <v>0</v>
      </c>
      <c r="D27" s="656"/>
    </row>
    <row r="28" spans="1:4">
      <c r="A28" s="657">
        <v>10.199999999999999</v>
      </c>
      <c r="B28" s="661" t="s">
        <v>666</v>
      </c>
      <c r="C28" s="634">
        <v>8430538.2199999988</v>
      </c>
      <c r="D28" s="656"/>
    </row>
    <row r="29" spans="1:4">
      <c r="A29" s="657">
        <v>11</v>
      </c>
      <c r="B29" s="637" t="s">
        <v>667</v>
      </c>
      <c r="C29" s="633">
        <v>2791477.1500000004</v>
      </c>
      <c r="D29" s="656"/>
    </row>
    <row r="30" spans="1:4">
      <c r="A30" s="657">
        <v>11.1</v>
      </c>
      <c r="B30" s="661" t="s">
        <v>668</v>
      </c>
      <c r="C30" s="634">
        <v>2377531.5300000003</v>
      </c>
      <c r="D30" s="656"/>
    </row>
    <row r="31" spans="1:4">
      <c r="A31" s="657">
        <v>11.2</v>
      </c>
      <c r="B31" s="661" t="s">
        <v>669</v>
      </c>
      <c r="C31" s="634">
        <v>413945.62</v>
      </c>
      <c r="D31" s="656"/>
    </row>
    <row r="32" spans="1:4">
      <c r="A32" s="657">
        <v>13</v>
      </c>
      <c r="B32" s="637" t="s">
        <v>79</v>
      </c>
      <c r="C32" s="633">
        <v>11222314.086000003</v>
      </c>
      <c r="D32" s="656"/>
    </row>
    <row r="33" spans="1:4">
      <c r="A33" s="657">
        <v>13.1</v>
      </c>
      <c r="B33" s="662" t="s">
        <v>670</v>
      </c>
      <c r="C33" s="634">
        <v>3168298.3799999994</v>
      </c>
      <c r="D33" s="656"/>
    </row>
    <row r="34" spans="1:4">
      <c r="A34" s="657">
        <v>13.2</v>
      </c>
      <c r="B34" s="662" t="s">
        <v>671</v>
      </c>
      <c r="C34" s="634">
        <v>0</v>
      </c>
      <c r="D34" s="656"/>
    </row>
    <row r="35" spans="1:4">
      <c r="A35" s="657">
        <v>14</v>
      </c>
      <c r="B35" s="639" t="s">
        <v>672</v>
      </c>
      <c r="C35" s="633">
        <v>678727933.18022501</v>
      </c>
      <c r="D35" s="656"/>
    </row>
    <row r="36" spans="1:4">
      <c r="A36" s="663"/>
      <c r="B36" s="648" t="s">
        <v>84</v>
      </c>
      <c r="C36" s="649"/>
      <c r="D36" s="766"/>
    </row>
    <row r="37" spans="1:4">
      <c r="A37" s="657">
        <v>15</v>
      </c>
      <c r="B37" s="638" t="s">
        <v>673</v>
      </c>
      <c r="C37" s="633">
        <v>0</v>
      </c>
      <c r="D37" s="765"/>
    </row>
    <row r="38" spans="1:4">
      <c r="A38" s="657">
        <v>15.1</v>
      </c>
      <c r="B38" s="658" t="s">
        <v>653</v>
      </c>
      <c r="C38" s="634">
        <v>0</v>
      </c>
      <c r="D38" s="656"/>
    </row>
    <row r="39" spans="1:4" ht="24">
      <c r="A39" s="657">
        <v>16</v>
      </c>
      <c r="B39" s="638" t="s">
        <v>674</v>
      </c>
      <c r="C39" s="633">
        <v>10169943.660000002</v>
      </c>
      <c r="D39" s="656"/>
    </row>
    <row r="40" spans="1:4">
      <c r="A40" s="657">
        <v>17</v>
      </c>
      <c r="B40" s="638" t="s">
        <v>675</v>
      </c>
      <c r="C40" s="633">
        <v>497812140.08870214</v>
      </c>
      <c r="D40" s="656"/>
    </row>
    <row r="41" spans="1:4">
      <c r="A41" s="657">
        <v>17.100000000000001</v>
      </c>
      <c r="B41" s="664" t="s">
        <v>676</v>
      </c>
      <c r="C41" s="634">
        <v>38804486.814898841</v>
      </c>
      <c r="D41" s="656"/>
    </row>
    <row r="42" spans="1:4">
      <c r="A42" s="657">
        <v>17.2</v>
      </c>
      <c r="B42" s="655" t="s">
        <v>80</v>
      </c>
      <c r="C42" s="634">
        <v>396579227.07850331</v>
      </c>
      <c r="D42" s="656"/>
    </row>
    <row r="43" spans="1:4">
      <c r="A43" s="657">
        <v>17.3</v>
      </c>
      <c r="B43" s="664" t="s">
        <v>677</v>
      </c>
      <c r="C43" s="634">
        <v>57491058.196499974</v>
      </c>
      <c r="D43" s="656"/>
    </row>
    <row r="44" spans="1:4">
      <c r="A44" s="657">
        <v>17.399999999999999</v>
      </c>
      <c r="B44" s="664" t="s">
        <v>678</v>
      </c>
      <c r="C44" s="634">
        <v>4937367.9987999983</v>
      </c>
      <c r="D44" s="656"/>
    </row>
    <row r="45" spans="1:4">
      <c r="A45" s="657">
        <v>18</v>
      </c>
      <c r="B45" s="637" t="s">
        <v>679</v>
      </c>
      <c r="C45" s="633">
        <v>202123.46000000002</v>
      </c>
      <c r="D45" s="656"/>
    </row>
    <row r="46" spans="1:4">
      <c r="A46" s="657">
        <v>19</v>
      </c>
      <c r="B46" s="637" t="s">
        <v>680</v>
      </c>
      <c r="C46" s="633">
        <v>0</v>
      </c>
      <c r="D46" s="665"/>
    </row>
    <row r="47" spans="1:4">
      <c r="A47" s="657">
        <v>19.100000000000001</v>
      </c>
      <c r="B47" s="666" t="s">
        <v>681</v>
      </c>
      <c r="C47" s="634">
        <v>0</v>
      </c>
      <c r="D47" s="665"/>
    </row>
    <row r="48" spans="1:4">
      <c r="A48" s="657">
        <v>19.2</v>
      </c>
      <c r="B48" s="666" t="s">
        <v>682</v>
      </c>
      <c r="C48" s="634">
        <v>0</v>
      </c>
      <c r="D48" s="665"/>
    </row>
    <row r="49" spans="1:4">
      <c r="A49" s="657">
        <v>20</v>
      </c>
      <c r="B49" s="639" t="s">
        <v>81</v>
      </c>
      <c r="C49" s="633">
        <v>40668262.525700003</v>
      </c>
      <c r="D49" s="659" t="s">
        <v>980</v>
      </c>
    </row>
    <row r="50" spans="1:4">
      <c r="A50" s="657">
        <v>21</v>
      </c>
      <c r="B50" s="635" t="s">
        <v>71</v>
      </c>
      <c r="C50" s="633">
        <v>18239227.830799997</v>
      </c>
      <c r="D50" s="665"/>
    </row>
    <row r="51" spans="1:4">
      <c r="A51" s="657">
        <v>21.1</v>
      </c>
      <c r="B51" s="655" t="s">
        <v>683</v>
      </c>
      <c r="C51" s="634">
        <v>64562.828200000004</v>
      </c>
      <c r="D51" s="665"/>
    </row>
    <row r="52" spans="1:4">
      <c r="A52" s="657">
        <v>22</v>
      </c>
      <c r="B52" s="639" t="s">
        <v>684</v>
      </c>
      <c r="C52" s="633">
        <v>567091697.56520224</v>
      </c>
      <c r="D52" s="665"/>
    </row>
    <row r="53" spans="1:4">
      <c r="A53" s="663"/>
      <c r="B53" s="648" t="s">
        <v>685</v>
      </c>
      <c r="C53" s="649"/>
      <c r="D53" s="568"/>
    </row>
    <row r="54" spans="1:4">
      <c r="A54" s="657">
        <v>23</v>
      </c>
      <c r="B54" s="639" t="s">
        <v>85</v>
      </c>
      <c r="C54" s="633">
        <v>3634576</v>
      </c>
      <c r="D54" s="659" t="s">
        <v>977</v>
      </c>
    </row>
    <row r="55" spans="1:4">
      <c r="A55" s="657">
        <v>24</v>
      </c>
      <c r="B55" s="639" t="s">
        <v>686</v>
      </c>
      <c r="C55" s="633">
        <v>0</v>
      </c>
      <c r="D55" s="665"/>
    </row>
    <row r="56" spans="1:4">
      <c r="A56" s="657">
        <v>25</v>
      </c>
      <c r="B56" s="639" t="s">
        <v>82</v>
      </c>
      <c r="C56" s="633">
        <v>22109970.23</v>
      </c>
      <c r="D56" s="659" t="s">
        <v>978</v>
      </c>
    </row>
    <row r="57" spans="1:4">
      <c r="A57" s="657">
        <v>26</v>
      </c>
      <c r="B57" s="637" t="s">
        <v>687</v>
      </c>
      <c r="C57" s="633">
        <v>0</v>
      </c>
      <c r="D57" s="665"/>
    </row>
    <row r="58" spans="1:4">
      <c r="A58" s="657">
        <v>27</v>
      </c>
      <c r="B58" s="637" t="s">
        <v>688</v>
      </c>
      <c r="C58" s="633">
        <v>0</v>
      </c>
      <c r="D58" s="665"/>
    </row>
    <row r="59" spans="1:4">
      <c r="A59" s="657">
        <v>27.1</v>
      </c>
      <c r="B59" s="666" t="s">
        <v>689</v>
      </c>
      <c r="C59" s="634">
        <v>0</v>
      </c>
      <c r="D59" s="665"/>
    </row>
    <row r="60" spans="1:4">
      <c r="A60" s="657">
        <v>27.2</v>
      </c>
      <c r="B60" s="664" t="s">
        <v>690</v>
      </c>
      <c r="C60" s="634">
        <v>0</v>
      </c>
      <c r="D60" s="665"/>
    </row>
    <row r="61" spans="1:4">
      <c r="A61" s="657">
        <v>28</v>
      </c>
      <c r="B61" s="635" t="s">
        <v>691</v>
      </c>
      <c r="C61" s="633">
        <v>0</v>
      </c>
      <c r="D61" s="665"/>
    </row>
    <row r="62" spans="1:4">
      <c r="A62" s="657">
        <v>29</v>
      </c>
      <c r="B62" s="637" t="s">
        <v>692</v>
      </c>
      <c r="C62" s="633">
        <v>0</v>
      </c>
      <c r="D62" s="665"/>
    </row>
    <row r="63" spans="1:4">
      <c r="A63" s="657">
        <v>29.1</v>
      </c>
      <c r="B63" s="660" t="s">
        <v>693</v>
      </c>
      <c r="C63" s="634">
        <v>0</v>
      </c>
      <c r="D63" s="665"/>
    </row>
    <row r="64" spans="1:4" ht="24" customHeight="1">
      <c r="A64" s="657">
        <v>29.2</v>
      </c>
      <c r="B64" s="666" t="s">
        <v>694</v>
      </c>
      <c r="C64" s="634">
        <v>0</v>
      </c>
      <c r="D64" s="665"/>
    </row>
    <row r="65" spans="1:4" ht="22.05" customHeight="1">
      <c r="A65" s="657">
        <v>29.3</v>
      </c>
      <c r="B65" s="661" t="s">
        <v>695</v>
      </c>
      <c r="C65" s="634">
        <v>0</v>
      </c>
      <c r="D65" s="665"/>
    </row>
    <row r="66" spans="1:4">
      <c r="A66" s="657">
        <v>30</v>
      </c>
      <c r="B66" s="637" t="s">
        <v>83</v>
      </c>
      <c r="C66" s="633">
        <v>85891689.191326097</v>
      </c>
      <c r="D66" s="659" t="s">
        <v>979</v>
      </c>
    </row>
    <row r="67" spans="1:4">
      <c r="A67" s="657">
        <v>31</v>
      </c>
      <c r="B67" s="667" t="s">
        <v>696</v>
      </c>
      <c r="C67" s="633">
        <v>111636235.4213261</v>
      </c>
      <c r="D67" s="665"/>
    </row>
    <row r="68" spans="1:4" ht="15" thickBot="1">
      <c r="A68" s="668">
        <v>32</v>
      </c>
      <c r="B68" s="640" t="s">
        <v>697</v>
      </c>
      <c r="C68" s="641">
        <v>678727932.9865284</v>
      </c>
      <c r="D68" s="669"/>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3"/>
  <sheetViews>
    <sheetView zoomScale="70" zoomScaleNormal="70" workbookViewId="0">
      <pane xSplit="2" ySplit="7" topLeftCell="C8" activePane="bottomRight" state="frozen"/>
      <selection activeCell="C24" sqref="C24"/>
      <selection pane="topRight" activeCell="C24" sqref="C24"/>
      <selection pane="bottomLeft" activeCell="C24" sqref="C24"/>
      <selection pane="bottomRight" activeCell="C8" sqref="C8:S21"/>
    </sheetView>
  </sheetViews>
  <sheetFormatPr defaultColWidth="9.21875" defaultRowHeight="13.8"/>
  <cols>
    <col min="1" max="1" width="12.6640625" style="11" customWidth="1"/>
    <col min="2" max="2" width="97" style="11" bestFit="1" customWidth="1"/>
    <col min="3" max="3" width="13.77734375" style="11" bestFit="1" customWidth="1"/>
    <col min="4" max="4" width="13.21875" style="11" bestFit="1" customWidth="1"/>
    <col min="5" max="5" width="13.77734375" style="11" bestFit="1" customWidth="1"/>
    <col min="6" max="6" width="13.21875" style="11" bestFit="1" customWidth="1"/>
    <col min="7" max="7" width="9.44140625" style="11" bestFit="1" customWidth="1"/>
    <col min="8" max="8" width="13.21875" style="11" bestFit="1" customWidth="1"/>
    <col min="9" max="9" width="14.77734375" style="11" customWidth="1"/>
    <col min="10" max="10" width="13.21875" style="11" bestFit="1" customWidth="1"/>
    <col min="11" max="11" width="16.21875" style="11" customWidth="1"/>
    <col min="12" max="12" width="13.21875" style="11" bestFit="1" customWidth="1"/>
    <col min="13" max="13" width="13.77734375" style="11" bestFit="1" customWidth="1"/>
    <col min="14" max="14" width="13.33203125" style="11" bestFit="1" customWidth="1"/>
    <col min="15" max="15" width="12.5546875" style="11" bestFit="1" customWidth="1"/>
    <col min="16" max="16" width="13.21875" style="11" bestFit="1" customWidth="1"/>
    <col min="17" max="17" width="12.6640625" style="11" bestFit="1" customWidth="1"/>
    <col min="18" max="18" width="13.21875" style="11" bestFit="1" customWidth="1"/>
    <col min="19" max="19" width="31.5546875" style="11" bestFit="1" customWidth="1"/>
    <col min="20" max="16384" width="9.21875" style="2"/>
  </cols>
  <sheetData>
    <row r="1" spans="1:19">
      <c r="A1" s="336" t="s">
        <v>869</v>
      </c>
      <c r="B1" s="338" t="str">
        <f>Info!C2</f>
        <v>კრისტალი</v>
      </c>
    </row>
    <row r="2" spans="1:19">
      <c r="A2" s="336" t="s">
        <v>88</v>
      </c>
      <c r="B2" s="337">
        <f>'1. key ratios'!B2</f>
        <v>46112</v>
      </c>
    </row>
    <row r="4" spans="1:19" ht="28.2" thickBot="1">
      <c r="A4" s="8" t="s">
        <v>222</v>
      </c>
      <c r="B4" s="230" t="s">
        <v>253</v>
      </c>
    </row>
    <row r="5" spans="1:19">
      <c r="A5" s="231"/>
      <c r="B5" s="232"/>
      <c r="C5" s="233" t="s">
        <v>0</v>
      </c>
      <c r="D5" s="233" t="s">
        <v>1</v>
      </c>
      <c r="E5" s="233" t="s">
        <v>2</v>
      </c>
      <c r="F5" s="233" t="s">
        <v>3</v>
      </c>
      <c r="G5" s="233" t="s">
        <v>4</v>
      </c>
      <c r="H5" s="233" t="s">
        <v>6</v>
      </c>
      <c r="I5" s="233" t="s">
        <v>117</v>
      </c>
      <c r="J5" s="233" t="s">
        <v>118</v>
      </c>
      <c r="K5" s="233" t="s">
        <v>119</v>
      </c>
      <c r="L5" s="233" t="s">
        <v>120</v>
      </c>
      <c r="M5" s="233" t="s">
        <v>121</v>
      </c>
      <c r="N5" s="233" t="s">
        <v>122</v>
      </c>
      <c r="O5" s="233" t="s">
        <v>242</v>
      </c>
      <c r="P5" s="233" t="s">
        <v>243</v>
      </c>
      <c r="Q5" s="233" t="s">
        <v>244</v>
      </c>
      <c r="R5" s="234" t="s">
        <v>245</v>
      </c>
      <c r="S5" s="235" t="s">
        <v>246</v>
      </c>
    </row>
    <row r="6" spans="1:19">
      <c r="A6" s="236"/>
      <c r="B6" s="810" t="s">
        <v>950</v>
      </c>
      <c r="C6" s="808">
        <v>0</v>
      </c>
      <c r="D6" s="809"/>
      <c r="E6" s="808">
        <v>0.2</v>
      </c>
      <c r="F6" s="809"/>
      <c r="G6" s="808">
        <v>0.35</v>
      </c>
      <c r="H6" s="809"/>
      <c r="I6" s="808">
        <v>0.5</v>
      </c>
      <c r="J6" s="809"/>
      <c r="K6" s="808">
        <v>0.75</v>
      </c>
      <c r="L6" s="809"/>
      <c r="M6" s="808">
        <v>1</v>
      </c>
      <c r="N6" s="809"/>
      <c r="O6" s="808">
        <v>1.5</v>
      </c>
      <c r="P6" s="809"/>
      <c r="Q6" s="808">
        <v>2.5</v>
      </c>
      <c r="R6" s="809"/>
      <c r="S6" s="806" t="s">
        <v>128</v>
      </c>
    </row>
    <row r="7" spans="1:19">
      <c r="A7" s="236"/>
      <c r="B7" s="811"/>
      <c r="C7" s="237" t="s">
        <v>240</v>
      </c>
      <c r="D7" s="237" t="s">
        <v>241</v>
      </c>
      <c r="E7" s="237" t="s">
        <v>240</v>
      </c>
      <c r="F7" s="237" t="s">
        <v>241</v>
      </c>
      <c r="G7" s="237" t="s">
        <v>240</v>
      </c>
      <c r="H7" s="237" t="s">
        <v>241</v>
      </c>
      <c r="I7" s="237" t="s">
        <v>240</v>
      </c>
      <c r="J7" s="237" t="s">
        <v>241</v>
      </c>
      <c r="K7" s="237" t="s">
        <v>240</v>
      </c>
      <c r="L7" s="237" t="s">
        <v>241</v>
      </c>
      <c r="M7" s="237" t="s">
        <v>240</v>
      </c>
      <c r="N7" s="237" t="s">
        <v>241</v>
      </c>
      <c r="O7" s="237" t="s">
        <v>240</v>
      </c>
      <c r="P7" s="237" t="s">
        <v>241</v>
      </c>
      <c r="Q7" s="237" t="s">
        <v>240</v>
      </c>
      <c r="R7" s="237" t="s">
        <v>241</v>
      </c>
      <c r="S7" s="807"/>
    </row>
    <row r="8" spans="1:19">
      <c r="A8" s="238">
        <v>1</v>
      </c>
      <c r="B8" s="239" t="s">
        <v>107</v>
      </c>
      <c r="C8" s="443">
        <v>5414607.6399999997</v>
      </c>
      <c r="D8" s="443"/>
      <c r="E8" s="443"/>
      <c r="F8" s="444"/>
      <c r="G8" s="443"/>
      <c r="H8" s="443"/>
      <c r="I8" s="443"/>
      <c r="J8" s="443"/>
      <c r="K8" s="443"/>
      <c r="L8" s="443"/>
      <c r="M8" s="443">
        <v>21590491.3838</v>
      </c>
      <c r="N8" s="443"/>
      <c r="O8" s="443"/>
      <c r="P8" s="443"/>
      <c r="Q8" s="443"/>
      <c r="R8" s="444"/>
      <c r="S8" s="445">
        <f>$C$6*SUM(C8:D8)+$E$6*SUM(E8:F8)+$G$6*SUM(G8:H8)+$I$6*SUM(I8:J8)+$K$6*SUM(K8:L8)+$M$6*SUM(M8:N8)+$O$6*SUM(O8:P8)+$Q$6*SUM(Q8:R8)</f>
        <v>21590491.3838</v>
      </c>
    </row>
    <row r="9" spans="1:19">
      <c r="A9" s="238">
        <v>2</v>
      </c>
      <c r="B9" s="239" t="s">
        <v>108</v>
      </c>
      <c r="C9" s="443"/>
      <c r="D9" s="443"/>
      <c r="E9" s="443"/>
      <c r="F9" s="443"/>
      <c r="G9" s="443"/>
      <c r="H9" s="443"/>
      <c r="I9" s="443"/>
      <c r="J9" s="443"/>
      <c r="K9" s="443"/>
      <c r="L9" s="443"/>
      <c r="M9" s="443"/>
      <c r="N9" s="443"/>
      <c r="O9" s="443"/>
      <c r="P9" s="443"/>
      <c r="Q9" s="443"/>
      <c r="R9" s="444"/>
      <c r="S9" s="445">
        <f t="shared" ref="S9:S21" si="0">$C$6*SUM(C9:D9)+$E$6*SUM(E9:F9)+$G$6*SUM(G9:H9)+$I$6*SUM(I9:J9)+$K$6*SUM(K9:L9)+$M$6*SUM(M9:N9)+$O$6*SUM(O9:P9)+$Q$6*SUM(Q9:R9)</f>
        <v>0</v>
      </c>
    </row>
    <row r="10" spans="1:19">
      <c r="A10" s="238">
        <v>3</v>
      </c>
      <c r="B10" s="239" t="s">
        <v>109</v>
      </c>
      <c r="C10" s="443"/>
      <c r="D10" s="443"/>
      <c r="E10" s="443"/>
      <c r="F10" s="443"/>
      <c r="G10" s="443"/>
      <c r="H10" s="443"/>
      <c r="I10" s="443"/>
      <c r="J10" s="443"/>
      <c r="K10" s="443"/>
      <c r="L10" s="443"/>
      <c r="M10" s="443"/>
      <c r="N10" s="443"/>
      <c r="O10" s="443"/>
      <c r="P10" s="443"/>
      <c r="Q10" s="443"/>
      <c r="R10" s="444"/>
      <c r="S10" s="445">
        <f t="shared" si="0"/>
        <v>0</v>
      </c>
    </row>
    <row r="11" spans="1:19">
      <c r="A11" s="238">
        <v>4</v>
      </c>
      <c r="B11" s="239" t="s">
        <v>110</v>
      </c>
      <c r="C11" s="443"/>
      <c r="D11" s="443"/>
      <c r="E11" s="443"/>
      <c r="F11" s="443"/>
      <c r="G11" s="443"/>
      <c r="H11" s="443"/>
      <c r="I11" s="443"/>
      <c r="J11" s="443"/>
      <c r="K11" s="443"/>
      <c r="L11" s="443"/>
      <c r="M11" s="443"/>
      <c r="N11" s="443"/>
      <c r="O11" s="443"/>
      <c r="P11" s="443"/>
      <c r="Q11" s="443"/>
      <c r="R11" s="444"/>
      <c r="S11" s="445">
        <f t="shared" si="0"/>
        <v>0</v>
      </c>
    </row>
    <row r="12" spans="1:19">
      <c r="A12" s="238">
        <v>5</v>
      </c>
      <c r="B12" s="239" t="s">
        <v>853</v>
      </c>
      <c r="C12" s="443"/>
      <c r="D12" s="443"/>
      <c r="E12" s="443"/>
      <c r="F12" s="443"/>
      <c r="G12" s="443"/>
      <c r="H12" s="443"/>
      <c r="I12" s="443"/>
      <c r="J12" s="443"/>
      <c r="K12" s="443"/>
      <c r="L12" s="443"/>
      <c r="M12" s="443"/>
      <c r="N12" s="443"/>
      <c r="O12" s="443"/>
      <c r="P12" s="443"/>
      <c r="Q12" s="443"/>
      <c r="R12" s="444"/>
      <c r="S12" s="445">
        <f t="shared" si="0"/>
        <v>0</v>
      </c>
    </row>
    <row r="13" spans="1:19">
      <c r="A13" s="238">
        <v>6</v>
      </c>
      <c r="B13" s="239" t="s">
        <v>913</v>
      </c>
      <c r="C13" s="443"/>
      <c r="D13" s="443"/>
      <c r="E13" s="443">
        <v>2891297.51</v>
      </c>
      <c r="F13" s="443"/>
      <c r="G13" s="443"/>
      <c r="H13" s="443"/>
      <c r="I13" s="443">
        <v>1641685.9462999997</v>
      </c>
      <c r="J13" s="443"/>
      <c r="K13" s="443"/>
      <c r="L13" s="443"/>
      <c r="M13" s="443">
        <v>376768</v>
      </c>
      <c r="N13" s="443"/>
      <c r="O13" s="443"/>
      <c r="P13" s="443"/>
      <c r="Q13" s="443"/>
      <c r="R13" s="444"/>
      <c r="S13" s="445">
        <f t="shared" si="0"/>
        <v>1775870.4751499998</v>
      </c>
    </row>
    <row r="14" spans="1:19">
      <c r="A14" s="238">
        <v>7</v>
      </c>
      <c r="B14" s="239" t="s">
        <v>64</v>
      </c>
      <c r="C14" s="443"/>
      <c r="D14" s="443"/>
      <c r="E14" s="443"/>
      <c r="F14" s="443"/>
      <c r="G14" s="443"/>
      <c r="H14" s="443"/>
      <c r="I14" s="443"/>
      <c r="J14" s="443"/>
      <c r="K14" s="443"/>
      <c r="L14" s="443"/>
      <c r="M14" s="443"/>
      <c r="N14" s="443"/>
      <c r="O14" s="443"/>
      <c r="P14" s="443"/>
      <c r="Q14" s="443"/>
      <c r="R14" s="444"/>
      <c r="S14" s="445">
        <f t="shared" si="0"/>
        <v>0</v>
      </c>
    </row>
    <row r="15" spans="1:19">
      <c r="A15" s="238">
        <v>8</v>
      </c>
      <c r="B15" s="239" t="s">
        <v>65</v>
      </c>
      <c r="C15" s="443"/>
      <c r="D15" s="443"/>
      <c r="E15" s="443"/>
      <c r="F15" s="443"/>
      <c r="G15" s="443"/>
      <c r="H15" s="443"/>
      <c r="I15" s="443" t="s">
        <v>5</v>
      </c>
      <c r="J15" s="443"/>
      <c r="K15" s="443">
        <v>573393798.24760282</v>
      </c>
      <c r="L15" s="443"/>
      <c r="M15" s="443"/>
      <c r="N15" s="756">
        <v>588133.35978999827</v>
      </c>
      <c r="O15" s="443"/>
      <c r="P15" s="443"/>
      <c r="Q15" s="443"/>
      <c r="R15" s="444"/>
      <c r="S15" s="445">
        <f t="shared" si="0"/>
        <v>430633482.04549211</v>
      </c>
    </row>
    <row r="16" spans="1:19">
      <c r="A16" s="238">
        <v>9</v>
      </c>
      <c r="B16" s="239" t="s">
        <v>854</v>
      </c>
      <c r="C16" s="443"/>
      <c r="D16" s="443"/>
      <c r="E16" s="443"/>
      <c r="F16" s="443"/>
      <c r="G16" s="443"/>
      <c r="H16" s="443"/>
      <c r="I16" s="443"/>
      <c r="J16" s="443"/>
      <c r="K16" s="443"/>
      <c r="L16" s="443"/>
      <c r="M16" s="443"/>
      <c r="N16" s="443"/>
      <c r="O16" s="443"/>
      <c r="P16" s="443"/>
      <c r="Q16" s="443"/>
      <c r="R16" s="444"/>
      <c r="S16" s="445">
        <f t="shared" si="0"/>
        <v>0</v>
      </c>
    </row>
    <row r="17" spans="1:19">
      <c r="A17" s="238">
        <v>10</v>
      </c>
      <c r="B17" s="239" t="s">
        <v>60</v>
      </c>
      <c r="C17" s="443"/>
      <c r="D17" s="443"/>
      <c r="E17" s="443"/>
      <c r="F17" s="443"/>
      <c r="G17" s="443"/>
      <c r="H17" s="443"/>
      <c r="I17" s="443"/>
      <c r="J17" s="443"/>
      <c r="K17" s="443"/>
      <c r="L17" s="443"/>
      <c r="M17" s="443">
        <v>2496146.1970761982</v>
      </c>
      <c r="N17" s="443"/>
      <c r="O17" s="443">
        <v>880684.89842496125</v>
      </c>
      <c r="P17" s="443"/>
      <c r="Q17" s="443"/>
      <c r="R17" s="444"/>
      <c r="S17" s="445">
        <f t="shared" si="0"/>
        <v>3817173.5447136401</v>
      </c>
    </row>
    <row r="18" spans="1:19">
      <c r="A18" s="238">
        <v>11</v>
      </c>
      <c r="B18" s="239" t="s">
        <v>61</v>
      </c>
      <c r="C18" s="443"/>
      <c r="D18" s="443"/>
      <c r="E18" s="443"/>
      <c r="F18" s="443"/>
      <c r="G18" s="443"/>
      <c r="H18" s="443"/>
      <c r="I18" s="443"/>
      <c r="J18" s="443"/>
      <c r="K18" s="443"/>
      <c r="L18" s="443"/>
      <c r="M18" s="443"/>
      <c r="N18" s="443"/>
      <c r="O18" s="443"/>
      <c r="P18" s="443"/>
      <c r="Q18" s="443"/>
      <c r="R18" s="444"/>
      <c r="S18" s="445">
        <f t="shared" si="0"/>
        <v>0</v>
      </c>
    </row>
    <row r="19" spans="1:19">
      <c r="A19" s="238">
        <v>12</v>
      </c>
      <c r="B19" s="239" t="s">
        <v>62</v>
      </c>
      <c r="C19" s="443"/>
      <c r="D19" s="443"/>
      <c r="E19" s="443"/>
      <c r="F19" s="443"/>
      <c r="G19" s="443"/>
      <c r="H19" s="443"/>
      <c r="I19" s="443"/>
      <c r="J19" s="443"/>
      <c r="K19" s="443"/>
      <c r="L19" s="443"/>
      <c r="M19" s="443"/>
      <c r="N19" s="443"/>
      <c r="O19" s="443"/>
      <c r="P19" s="443"/>
      <c r="Q19" s="443"/>
      <c r="R19" s="444"/>
      <c r="S19" s="445">
        <f t="shared" si="0"/>
        <v>0</v>
      </c>
    </row>
    <row r="20" spans="1:19">
      <c r="A20" s="238">
        <v>13</v>
      </c>
      <c r="B20" s="239" t="s">
        <v>63</v>
      </c>
      <c r="C20" s="443"/>
      <c r="D20" s="443"/>
      <c r="E20" s="443"/>
      <c r="F20" s="443"/>
      <c r="G20" s="443"/>
      <c r="H20" s="443"/>
      <c r="I20" s="443"/>
      <c r="J20" s="443"/>
      <c r="K20" s="443"/>
      <c r="L20" s="443"/>
      <c r="M20" s="443"/>
      <c r="N20" s="443"/>
      <c r="O20" s="443"/>
      <c r="P20" s="443"/>
      <c r="Q20" s="443"/>
      <c r="R20" s="444"/>
      <c r="S20" s="445">
        <f t="shared" si="0"/>
        <v>0</v>
      </c>
    </row>
    <row r="21" spans="1:19">
      <c r="A21" s="238">
        <v>14</v>
      </c>
      <c r="B21" s="239" t="s">
        <v>126</v>
      </c>
      <c r="C21" s="443">
        <v>22043931.521100003</v>
      </c>
      <c r="D21" s="443"/>
      <c r="E21" s="443"/>
      <c r="F21" s="443"/>
      <c r="G21" s="443"/>
      <c r="H21" s="443"/>
      <c r="I21" s="443"/>
      <c r="J21" s="443"/>
      <c r="K21" s="443"/>
      <c r="L21" s="443"/>
      <c r="M21" s="443">
        <v>38604247.33600001</v>
      </c>
      <c r="N21" s="443"/>
      <c r="O21" s="443"/>
      <c r="P21" s="443"/>
      <c r="Q21" s="443">
        <v>413945.62</v>
      </c>
      <c r="R21" s="444"/>
      <c r="S21" s="445">
        <f t="shared" si="0"/>
        <v>39639111.386000007</v>
      </c>
    </row>
    <row r="22" spans="1:19" s="481" customFormat="1" ht="14.4" thickBot="1">
      <c r="A22" s="479"/>
      <c r="B22" s="241" t="s">
        <v>59</v>
      </c>
      <c r="C22" s="477">
        <f>SUM(C8:C21)</f>
        <v>27458539.161100004</v>
      </c>
      <c r="D22" s="477">
        <f t="shared" ref="D22:S22" si="1">SUM(D8:D21)</f>
        <v>0</v>
      </c>
      <c r="E22" s="477">
        <f t="shared" si="1"/>
        <v>2891297.51</v>
      </c>
      <c r="F22" s="477">
        <f t="shared" si="1"/>
        <v>0</v>
      </c>
      <c r="G22" s="477">
        <f t="shared" si="1"/>
        <v>0</v>
      </c>
      <c r="H22" s="477">
        <f t="shared" si="1"/>
        <v>0</v>
      </c>
      <c r="I22" s="477">
        <f t="shared" si="1"/>
        <v>1641685.9462999997</v>
      </c>
      <c r="J22" s="477">
        <f t="shared" si="1"/>
        <v>0</v>
      </c>
      <c r="K22" s="477">
        <f t="shared" si="1"/>
        <v>573393798.24760282</v>
      </c>
      <c r="L22" s="477">
        <f t="shared" si="1"/>
        <v>0</v>
      </c>
      <c r="M22" s="477">
        <f t="shared" si="1"/>
        <v>63067652.916876212</v>
      </c>
      <c r="N22" s="477">
        <f t="shared" si="1"/>
        <v>588133.35978999827</v>
      </c>
      <c r="O22" s="477">
        <f t="shared" si="1"/>
        <v>880684.89842496125</v>
      </c>
      <c r="P22" s="477">
        <f t="shared" si="1"/>
        <v>0</v>
      </c>
      <c r="Q22" s="477">
        <f t="shared" si="1"/>
        <v>413945.62</v>
      </c>
      <c r="R22" s="477">
        <f t="shared" si="1"/>
        <v>0</v>
      </c>
      <c r="S22" s="480">
        <f t="shared" si="1"/>
        <v>497456128.83515573</v>
      </c>
    </row>
    <row r="23" spans="1:19">
      <c r="S23" s="722"/>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70" zoomScaleNormal="70" workbookViewId="0">
      <pane xSplit="2" ySplit="6" topLeftCell="C7" activePane="bottomRight" state="frozen"/>
      <selection activeCell="C24" sqref="C24"/>
      <selection pane="topRight" activeCell="C24" sqref="C24"/>
      <selection pane="bottomLeft" activeCell="C24" sqref="C24"/>
      <selection pane="bottomRight" activeCell="C24" sqref="C24"/>
    </sheetView>
  </sheetViews>
  <sheetFormatPr defaultColWidth="9.21875" defaultRowHeight="13.8"/>
  <cols>
    <col min="1" max="1" width="12.77734375" style="11" customWidth="1"/>
    <col min="2" max="2" width="97" style="11" bestFit="1" customWidth="1"/>
    <col min="3" max="3" width="19" style="11" customWidth="1"/>
    <col min="4" max="4" width="19.5546875" style="11" customWidth="1"/>
    <col min="5" max="5" width="31.21875" style="11" customWidth="1"/>
    <col min="6" max="6" width="29.21875" style="11" customWidth="1"/>
    <col min="7" max="7" width="28.5546875" style="11" customWidth="1"/>
    <col min="8" max="8" width="26.44140625" style="11" customWidth="1"/>
    <col min="9" max="9" width="23.77734375" style="11" customWidth="1"/>
    <col min="10" max="10" width="21.5546875" style="11" customWidth="1"/>
    <col min="11" max="11" width="15.77734375" style="11" customWidth="1"/>
    <col min="12" max="12" width="13.21875" style="11" customWidth="1"/>
    <col min="13" max="13" width="20.77734375" style="11" customWidth="1"/>
    <col min="14" max="14" width="19.21875" style="11" customWidth="1"/>
    <col min="15" max="15" width="18.44140625" style="11" customWidth="1"/>
    <col min="16" max="16" width="19" style="11" customWidth="1"/>
    <col min="17" max="17" width="20.21875" style="11" customWidth="1"/>
    <col min="18" max="18" width="18" style="11" customWidth="1"/>
    <col min="19" max="19" width="36" style="11" customWidth="1"/>
    <col min="20" max="20" width="19.44140625" style="11" customWidth="1"/>
    <col min="21" max="21" width="19.21875" style="11" customWidth="1"/>
    <col min="22" max="22" width="20" style="11" customWidth="1"/>
    <col min="23" max="16384" width="9.21875" style="2"/>
  </cols>
  <sheetData>
    <row r="1" spans="1:22">
      <c r="A1" s="336" t="s">
        <v>869</v>
      </c>
      <c r="B1" s="338" t="str">
        <f>Info!C2</f>
        <v>კრისტალი</v>
      </c>
    </row>
    <row r="2" spans="1:22">
      <c r="A2" s="336" t="s">
        <v>88</v>
      </c>
      <c r="B2" s="337">
        <f>'1. key ratios'!B2</f>
        <v>46112</v>
      </c>
    </row>
    <row r="4" spans="1:22" ht="28.2" thickBot="1">
      <c r="A4" s="11" t="s">
        <v>223</v>
      </c>
      <c r="B4" s="230" t="s">
        <v>254</v>
      </c>
      <c r="V4" s="16" t="s">
        <v>69</v>
      </c>
    </row>
    <row r="5" spans="1:22">
      <c r="A5" s="242"/>
      <c r="B5" s="243"/>
      <c r="C5" s="812" t="s">
        <v>95</v>
      </c>
      <c r="D5" s="813"/>
      <c r="E5" s="813"/>
      <c r="F5" s="813"/>
      <c r="G5" s="813"/>
      <c r="H5" s="813"/>
      <c r="I5" s="813"/>
      <c r="J5" s="813"/>
      <c r="K5" s="813"/>
      <c r="L5" s="814"/>
      <c r="M5" s="812" t="s">
        <v>96</v>
      </c>
      <c r="N5" s="813"/>
      <c r="O5" s="813"/>
      <c r="P5" s="813"/>
      <c r="Q5" s="813"/>
      <c r="R5" s="813"/>
      <c r="S5" s="814"/>
      <c r="T5" s="817" t="s">
        <v>252</v>
      </c>
      <c r="U5" s="817" t="s">
        <v>251</v>
      </c>
      <c r="V5" s="815" t="s">
        <v>97</v>
      </c>
    </row>
    <row r="6" spans="1:22" s="10" customFormat="1" ht="151.80000000000001">
      <c r="A6" s="191"/>
      <c r="B6" s="244"/>
      <c r="C6" s="245"/>
      <c r="D6" s="246" t="s">
        <v>98</v>
      </c>
      <c r="E6" s="247" t="s">
        <v>99</v>
      </c>
      <c r="F6" s="247"/>
      <c r="G6" s="248"/>
      <c r="H6" s="248"/>
      <c r="I6" s="248"/>
      <c r="J6" s="246" t="s">
        <v>125</v>
      </c>
      <c r="K6" s="248"/>
      <c r="L6" s="249"/>
      <c r="M6" s="250" t="s">
        <v>100</v>
      </c>
      <c r="N6" s="246" t="s">
        <v>101</v>
      </c>
      <c r="O6" s="246" t="s">
        <v>102</v>
      </c>
      <c r="P6" s="246" t="s">
        <v>103</v>
      </c>
      <c r="Q6" s="246" t="s">
        <v>104</v>
      </c>
      <c r="R6" s="246" t="s">
        <v>105</v>
      </c>
      <c r="S6" s="251" t="s">
        <v>106</v>
      </c>
      <c r="T6" s="818"/>
      <c r="U6" s="818"/>
      <c r="V6" s="816"/>
    </row>
    <row r="7" spans="1:22">
      <c r="A7" s="252">
        <v>1</v>
      </c>
      <c r="B7" s="239" t="s">
        <v>107</v>
      </c>
      <c r="C7" s="575"/>
      <c r="D7" s="443"/>
      <c r="E7" s="443"/>
      <c r="F7" s="443"/>
      <c r="G7" s="443"/>
      <c r="H7" s="443"/>
      <c r="I7" s="443"/>
      <c r="J7" s="443"/>
      <c r="K7" s="443"/>
      <c r="L7" s="445"/>
      <c r="M7" s="575"/>
      <c r="N7" s="443"/>
      <c r="O7" s="443"/>
      <c r="P7" s="443"/>
      <c r="Q7" s="443"/>
      <c r="R7" s="443"/>
      <c r="S7" s="445"/>
      <c r="T7" s="576"/>
      <c r="U7" s="577"/>
      <c r="V7" s="578">
        <f>SUM(C7:S7)</f>
        <v>0</v>
      </c>
    </row>
    <row r="8" spans="1:22">
      <c r="A8" s="252">
        <v>2</v>
      </c>
      <c r="B8" s="239" t="s">
        <v>108</v>
      </c>
      <c r="C8" s="575"/>
      <c r="D8" s="443"/>
      <c r="E8" s="443"/>
      <c r="F8" s="443"/>
      <c r="G8" s="443"/>
      <c r="H8" s="443"/>
      <c r="I8" s="443"/>
      <c r="J8" s="443"/>
      <c r="K8" s="443"/>
      <c r="L8" s="445"/>
      <c r="M8" s="575"/>
      <c r="N8" s="443"/>
      <c r="O8" s="443"/>
      <c r="P8" s="443"/>
      <c r="Q8" s="443"/>
      <c r="R8" s="443"/>
      <c r="S8" s="445"/>
      <c r="T8" s="577"/>
      <c r="U8" s="577"/>
      <c r="V8" s="578">
        <f t="shared" ref="V8:V20" si="0">SUM(C8:S8)</f>
        <v>0</v>
      </c>
    </row>
    <row r="9" spans="1:22">
      <c r="A9" s="252">
        <v>3</v>
      </c>
      <c r="B9" s="239" t="s">
        <v>109</v>
      </c>
      <c r="C9" s="575"/>
      <c r="D9" s="443"/>
      <c r="E9" s="443"/>
      <c r="F9" s="443"/>
      <c r="G9" s="443"/>
      <c r="H9" s="443"/>
      <c r="I9" s="443"/>
      <c r="J9" s="443"/>
      <c r="K9" s="443"/>
      <c r="L9" s="445"/>
      <c r="M9" s="575"/>
      <c r="N9" s="443"/>
      <c r="O9" s="443"/>
      <c r="P9" s="443"/>
      <c r="Q9" s="443"/>
      <c r="R9" s="443"/>
      <c r="S9" s="445"/>
      <c r="T9" s="577"/>
      <c r="U9" s="577"/>
      <c r="V9" s="578">
        <f>SUM(C9:S9)</f>
        <v>0</v>
      </c>
    </row>
    <row r="10" spans="1:22">
      <c r="A10" s="252">
        <v>4</v>
      </c>
      <c r="B10" s="239" t="s">
        <v>110</v>
      </c>
      <c r="C10" s="575"/>
      <c r="D10" s="443"/>
      <c r="E10" s="443"/>
      <c r="F10" s="443"/>
      <c r="G10" s="443"/>
      <c r="H10" s="443"/>
      <c r="I10" s="443"/>
      <c r="J10" s="443"/>
      <c r="K10" s="443"/>
      <c r="L10" s="445"/>
      <c r="M10" s="575"/>
      <c r="N10" s="443"/>
      <c r="O10" s="443"/>
      <c r="P10" s="443"/>
      <c r="Q10" s="443"/>
      <c r="R10" s="443"/>
      <c r="S10" s="445"/>
      <c r="T10" s="577"/>
      <c r="U10" s="577"/>
      <c r="V10" s="578">
        <f t="shared" si="0"/>
        <v>0</v>
      </c>
    </row>
    <row r="11" spans="1:22">
      <c r="A11" s="252">
        <v>5</v>
      </c>
      <c r="B11" s="239" t="s">
        <v>853</v>
      </c>
      <c r="C11" s="575"/>
      <c r="D11" s="443"/>
      <c r="E11" s="443"/>
      <c r="F11" s="443"/>
      <c r="G11" s="443"/>
      <c r="H11" s="443"/>
      <c r="I11" s="443"/>
      <c r="J11" s="443"/>
      <c r="K11" s="443"/>
      <c r="L11" s="445"/>
      <c r="M11" s="575"/>
      <c r="N11" s="443"/>
      <c r="O11" s="443"/>
      <c r="P11" s="443"/>
      <c r="Q11" s="443"/>
      <c r="R11" s="443"/>
      <c r="S11" s="445"/>
      <c r="T11" s="577"/>
      <c r="U11" s="577"/>
      <c r="V11" s="578">
        <f t="shared" si="0"/>
        <v>0</v>
      </c>
    </row>
    <row r="12" spans="1:22">
      <c r="A12" s="252">
        <v>6</v>
      </c>
      <c r="B12" s="239" t="s">
        <v>913</v>
      </c>
      <c r="C12" s="575"/>
      <c r="D12" s="443"/>
      <c r="E12" s="443"/>
      <c r="F12" s="443"/>
      <c r="G12" s="443"/>
      <c r="H12" s="443"/>
      <c r="I12" s="443"/>
      <c r="J12" s="443"/>
      <c r="K12" s="443"/>
      <c r="L12" s="445"/>
      <c r="M12" s="575"/>
      <c r="N12" s="443"/>
      <c r="O12" s="443"/>
      <c r="P12" s="443"/>
      <c r="Q12" s="443"/>
      <c r="R12" s="443"/>
      <c r="S12" s="445"/>
      <c r="T12" s="577"/>
      <c r="U12" s="577"/>
      <c r="V12" s="578">
        <f t="shared" si="0"/>
        <v>0</v>
      </c>
    </row>
    <row r="13" spans="1:22">
      <c r="A13" s="252">
        <v>7</v>
      </c>
      <c r="B13" s="239" t="s">
        <v>64</v>
      </c>
      <c r="C13" s="575"/>
      <c r="D13" s="443"/>
      <c r="E13" s="443"/>
      <c r="F13" s="443"/>
      <c r="G13" s="443"/>
      <c r="H13" s="443"/>
      <c r="I13" s="443"/>
      <c r="J13" s="443"/>
      <c r="K13" s="443"/>
      <c r="L13" s="445"/>
      <c r="M13" s="575"/>
      <c r="N13" s="443"/>
      <c r="O13" s="443"/>
      <c r="P13" s="443"/>
      <c r="Q13" s="443"/>
      <c r="R13" s="443"/>
      <c r="S13" s="445"/>
      <c r="T13" s="577"/>
      <c r="U13" s="577"/>
      <c r="V13" s="578">
        <f t="shared" si="0"/>
        <v>0</v>
      </c>
    </row>
    <row r="14" spans="1:22">
      <c r="A14" s="252">
        <v>8</v>
      </c>
      <c r="B14" s="239" t="s">
        <v>65</v>
      </c>
      <c r="C14" s="575"/>
      <c r="D14" s="443"/>
      <c r="E14" s="443"/>
      <c r="F14" s="443"/>
      <c r="G14" s="443"/>
      <c r="H14" s="443"/>
      <c r="I14" s="443"/>
      <c r="J14" s="443"/>
      <c r="K14" s="443"/>
      <c r="L14" s="445"/>
      <c r="M14" s="575"/>
      <c r="N14" s="443"/>
      <c r="O14" s="443"/>
      <c r="P14" s="443"/>
      <c r="Q14" s="443"/>
      <c r="R14" s="443"/>
      <c r="S14" s="445"/>
      <c r="T14" s="577"/>
      <c r="U14" s="577"/>
      <c r="V14" s="578">
        <f t="shared" si="0"/>
        <v>0</v>
      </c>
    </row>
    <row r="15" spans="1:22">
      <c r="A15" s="252">
        <v>9</v>
      </c>
      <c r="B15" s="239" t="s">
        <v>854</v>
      </c>
      <c r="C15" s="575"/>
      <c r="D15" s="443"/>
      <c r="E15" s="443"/>
      <c r="F15" s="443"/>
      <c r="G15" s="443"/>
      <c r="H15" s="443"/>
      <c r="I15" s="443"/>
      <c r="J15" s="443"/>
      <c r="K15" s="443"/>
      <c r="L15" s="445"/>
      <c r="M15" s="575"/>
      <c r="N15" s="443"/>
      <c r="O15" s="443"/>
      <c r="P15" s="443"/>
      <c r="Q15" s="443"/>
      <c r="R15" s="443"/>
      <c r="S15" s="445"/>
      <c r="T15" s="577"/>
      <c r="U15" s="577"/>
      <c r="V15" s="578">
        <f t="shared" si="0"/>
        <v>0</v>
      </c>
    </row>
    <row r="16" spans="1:22">
      <c r="A16" s="252">
        <v>10</v>
      </c>
      <c r="B16" s="239" t="s">
        <v>60</v>
      </c>
      <c r="C16" s="575"/>
      <c r="D16" s="443"/>
      <c r="E16" s="443"/>
      <c r="F16" s="443"/>
      <c r="G16" s="443"/>
      <c r="H16" s="443"/>
      <c r="I16" s="443"/>
      <c r="J16" s="443"/>
      <c r="K16" s="443"/>
      <c r="L16" s="445"/>
      <c r="M16" s="575"/>
      <c r="N16" s="443"/>
      <c r="O16" s="443"/>
      <c r="P16" s="443"/>
      <c r="Q16" s="443"/>
      <c r="R16" s="443"/>
      <c r="S16" s="445"/>
      <c r="T16" s="577"/>
      <c r="U16" s="577"/>
      <c r="V16" s="578">
        <f t="shared" si="0"/>
        <v>0</v>
      </c>
    </row>
    <row r="17" spans="1:22">
      <c r="A17" s="252">
        <v>11</v>
      </c>
      <c r="B17" s="239" t="s">
        <v>61</v>
      </c>
      <c r="C17" s="575"/>
      <c r="D17" s="443"/>
      <c r="E17" s="443"/>
      <c r="F17" s="443"/>
      <c r="G17" s="443"/>
      <c r="H17" s="443"/>
      <c r="I17" s="443"/>
      <c r="J17" s="443"/>
      <c r="K17" s="443"/>
      <c r="L17" s="445"/>
      <c r="M17" s="575"/>
      <c r="N17" s="443"/>
      <c r="O17" s="443"/>
      <c r="P17" s="443"/>
      <c r="Q17" s="443"/>
      <c r="R17" s="443"/>
      <c r="S17" s="445"/>
      <c r="T17" s="577"/>
      <c r="U17" s="577"/>
      <c r="V17" s="578">
        <f t="shared" si="0"/>
        <v>0</v>
      </c>
    </row>
    <row r="18" spans="1:22">
      <c r="A18" s="252">
        <v>12</v>
      </c>
      <c r="B18" s="239" t="s">
        <v>62</v>
      </c>
      <c r="C18" s="575"/>
      <c r="D18" s="443"/>
      <c r="E18" s="443"/>
      <c r="F18" s="443"/>
      <c r="G18" s="443"/>
      <c r="H18" s="443"/>
      <c r="I18" s="443"/>
      <c r="J18" s="443"/>
      <c r="K18" s="443"/>
      <c r="L18" s="445"/>
      <c r="M18" s="575"/>
      <c r="N18" s="443"/>
      <c r="O18" s="443"/>
      <c r="P18" s="443"/>
      <c r="Q18" s="443"/>
      <c r="R18" s="443"/>
      <c r="S18" s="445"/>
      <c r="T18" s="577"/>
      <c r="U18" s="577"/>
      <c r="V18" s="578">
        <f t="shared" si="0"/>
        <v>0</v>
      </c>
    </row>
    <row r="19" spans="1:22">
      <c r="A19" s="252">
        <v>13</v>
      </c>
      <c r="B19" s="239" t="s">
        <v>63</v>
      </c>
      <c r="C19" s="575"/>
      <c r="D19" s="443"/>
      <c r="E19" s="443"/>
      <c r="F19" s="443"/>
      <c r="G19" s="443"/>
      <c r="H19" s="443"/>
      <c r="I19" s="443"/>
      <c r="J19" s="443"/>
      <c r="K19" s="443"/>
      <c r="L19" s="445"/>
      <c r="M19" s="575"/>
      <c r="N19" s="443"/>
      <c r="O19" s="443"/>
      <c r="P19" s="443"/>
      <c r="Q19" s="443"/>
      <c r="R19" s="443"/>
      <c r="S19" s="445"/>
      <c r="T19" s="577"/>
      <c r="U19" s="577"/>
      <c r="V19" s="578">
        <f t="shared" si="0"/>
        <v>0</v>
      </c>
    </row>
    <row r="20" spans="1:22">
      <c r="A20" s="252">
        <v>14</v>
      </c>
      <c r="B20" s="239" t="s">
        <v>126</v>
      </c>
      <c r="C20" s="575"/>
      <c r="D20" s="443"/>
      <c r="E20" s="443"/>
      <c r="F20" s="443"/>
      <c r="G20" s="443"/>
      <c r="H20" s="443"/>
      <c r="I20" s="443"/>
      <c r="J20" s="443"/>
      <c r="K20" s="443"/>
      <c r="L20" s="445"/>
      <c r="M20" s="575"/>
      <c r="N20" s="443"/>
      <c r="O20" s="443"/>
      <c r="P20" s="443"/>
      <c r="Q20" s="443"/>
      <c r="R20" s="443"/>
      <c r="S20" s="445"/>
      <c r="T20" s="577"/>
      <c r="U20" s="577"/>
      <c r="V20" s="578">
        <f t="shared" si="0"/>
        <v>0</v>
      </c>
    </row>
    <row r="21" spans="1:22" ht="14.4" thickBot="1">
      <c r="A21" s="240"/>
      <c r="B21" s="253" t="s">
        <v>59</v>
      </c>
      <c r="C21" s="579">
        <f>SUM(C7:C20)</f>
        <v>0</v>
      </c>
      <c r="D21" s="580">
        <f t="shared" ref="D21:V21" si="1">SUM(D7:D20)</f>
        <v>0</v>
      </c>
      <c r="E21" s="580">
        <f t="shared" si="1"/>
        <v>0</v>
      </c>
      <c r="F21" s="580">
        <f t="shared" si="1"/>
        <v>0</v>
      </c>
      <c r="G21" s="580">
        <f t="shared" si="1"/>
        <v>0</v>
      </c>
      <c r="H21" s="580">
        <f t="shared" si="1"/>
        <v>0</v>
      </c>
      <c r="I21" s="580">
        <f t="shared" si="1"/>
        <v>0</v>
      </c>
      <c r="J21" s="580">
        <f t="shared" si="1"/>
        <v>0</v>
      </c>
      <c r="K21" s="580">
        <f t="shared" si="1"/>
        <v>0</v>
      </c>
      <c r="L21" s="581">
        <f t="shared" si="1"/>
        <v>0</v>
      </c>
      <c r="M21" s="579">
        <f t="shared" si="1"/>
        <v>0</v>
      </c>
      <c r="N21" s="580">
        <f t="shared" si="1"/>
        <v>0</v>
      </c>
      <c r="O21" s="580">
        <f t="shared" si="1"/>
        <v>0</v>
      </c>
      <c r="P21" s="580">
        <f t="shared" si="1"/>
        <v>0</v>
      </c>
      <c r="Q21" s="580">
        <f t="shared" si="1"/>
        <v>0</v>
      </c>
      <c r="R21" s="580">
        <f t="shared" si="1"/>
        <v>0</v>
      </c>
      <c r="S21" s="581">
        <f t="shared" si="1"/>
        <v>0</v>
      </c>
      <c r="T21" s="581">
        <f>SUM(T7:T20)</f>
        <v>0</v>
      </c>
      <c r="U21" s="581">
        <f t="shared" si="1"/>
        <v>0</v>
      </c>
      <c r="V21" s="582">
        <f t="shared" si="1"/>
        <v>0</v>
      </c>
    </row>
    <row r="24" spans="1:22">
      <c r="C24" s="254"/>
      <c r="D24" s="254"/>
      <c r="E24" s="254"/>
    </row>
    <row r="25" spans="1:22">
      <c r="A25" s="9"/>
      <c r="B25" s="9"/>
      <c r="D25" s="254"/>
      <c r="E25" s="254"/>
    </row>
    <row r="26" spans="1:22">
      <c r="A26" s="9"/>
      <c r="B26" s="255"/>
      <c r="D26" s="254"/>
      <c r="E26" s="254"/>
    </row>
    <row r="27" spans="1:22">
      <c r="A27" s="9"/>
      <c r="B27" s="9"/>
      <c r="D27" s="254"/>
      <c r="E27" s="254"/>
    </row>
    <row r="28" spans="1:22">
      <c r="A28" s="9"/>
      <c r="B28" s="255"/>
      <c r="D28" s="254"/>
      <c r="E28" s="254"/>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8"/>
  <sheetViews>
    <sheetView zoomScale="70" zoomScaleNormal="70" workbookViewId="0">
      <pane xSplit="2" ySplit="7" topLeftCell="C8" activePane="bottomRight" state="frozen"/>
      <selection activeCell="C24" sqref="C24"/>
      <selection pane="topRight" activeCell="C24" sqref="C24"/>
      <selection pane="bottomLeft" activeCell="C24" sqref="C24"/>
      <selection pane="bottomRight" activeCell="C22" sqref="C22:G22"/>
    </sheetView>
  </sheetViews>
  <sheetFormatPr defaultColWidth="9.21875" defaultRowHeight="13.8"/>
  <cols>
    <col min="1" max="1" width="12.21875" style="11" customWidth="1"/>
    <col min="2" max="2" width="101.77734375" style="11" customWidth="1"/>
    <col min="3" max="3" width="16.44140625" style="11" customWidth="1"/>
    <col min="4" max="4" width="14.77734375" style="11" bestFit="1" customWidth="1"/>
    <col min="5" max="5" width="17.77734375" style="11" customWidth="1"/>
    <col min="6" max="6" width="15.77734375" style="11" customWidth="1"/>
    <col min="7" max="7" width="17.44140625" style="11" customWidth="1"/>
    <col min="8" max="8" width="15.21875" style="11" customWidth="1"/>
    <col min="9" max="16384" width="9.21875" style="2"/>
  </cols>
  <sheetData>
    <row r="1" spans="1:9">
      <c r="A1" s="336" t="s">
        <v>869</v>
      </c>
      <c r="B1" s="338" t="str">
        <f>Info!C2</f>
        <v>კრისტალი</v>
      </c>
    </row>
    <row r="2" spans="1:9">
      <c r="A2" s="336" t="s">
        <v>88</v>
      </c>
      <c r="B2" s="337">
        <f>'1. key ratios'!B2</f>
        <v>46112</v>
      </c>
    </row>
    <row r="4" spans="1:9" ht="14.4" thickBot="1">
      <c r="A4" s="11" t="s">
        <v>224</v>
      </c>
      <c r="B4" s="195" t="s">
        <v>255</v>
      </c>
    </row>
    <row r="5" spans="1:9">
      <c r="A5" s="242"/>
      <c r="B5" s="256"/>
      <c r="C5" s="257" t="s">
        <v>0</v>
      </c>
      <c r="D5" s="257" t="s">
        <v>1</v>
      </c>
      <c r="E5" s="257" t="s">
        <v>2</v>
      </c>
      <c r="F5" s="257" t="s">
        <v>3</v>
      </c>
      <c r="G5" s="258" t="s">
        <v>4</v>
      </c>
      <c r="H5" s="259" t="s">
        <v>6</v>
      </c>
      <c r="I5" s="7"/>
    </row>
    <row r="6" spans="1:9" ht="15" customHeight="1">
      <c r="A6" s="236"/>
      <c r="B6" s="260"/>
      <c r="C6" s="810" t="s">
        <v>247</v>
      </c>
      <c r="D6" s="821" t="s">
        <v>268</v>
      </c>
      <c r="E6" s="822"/>
      <c r="F6" s="810" t="s">
        <v>274</v>
      </c>
      <c r="G6" s="810" t="s">
        <v>275</v>
      </c>
      <c r="H6" s="819" t="s">
        <v>249</v>
      </c>
      <c r="I6" s="7"/>
    </row>
    <row r="7" spans="1:9" ht="110.4" customHeight="1">
      <c r="A7" s="236"/>
      <c r="B7" s="260"/>
      <c r="C7" s="811"/>
      <c r="D7" s="261" t="s">
        <v>250</v>
      </c>
      <c r="E7" s="261" t="s">
        <v>248</v>
      </c>
      <c r="F7" s="811"/>
      <c r="G7" s="811"/>
      <c r="H7" s="820"/>
      <c r="I7" s="7"/>
    </row>
    <row r="8" spans="1:9">
      <c r="A8" s="262">
        <v>1</v>
      </c>
      <c r="B8" s="239" t="s">
        <v>107</v>
      </c>
      <c r="C8" s="443">
        <v>27005099.023800001</v>
      </c>
      <c r="D8" s="443"/>
      <c r="E8" s="443"/>
      <c r="F8" s="443">
        <v>21590491.3838</v>
      </c>
      <c r="G8" s="444">
        <v>21590491.3838</v>
      </c>
      <c r="H8" s="263">
        <f>IFERROR(G8/(C8+E8),"")</f>
        <v>0.79949684186575187</v>
      </c>
    </row>
    <row r="9" spans="1:9" ht="15" customHeight="1">
      <c r="A9" s="262">
        <v>2</v>
      </c>
      <c r="B9" s="239" t="s">
        <v>108</v>
      </c>
      <c r="C9" s="443"/>
      <c r="D9" s="443"/>
      <c r="E9" s="443"/>
      <c r="F9" s="443"/>
      <c r="G9" s="444"/>
      <c r="H9" s="263" t="str">
        <f t="shared" ref="H9:H22" si="0">IFERROR(G9/(C9+E9),"")</f>
        <v/>
      </c>
    </row>
    <row r="10" spans="1:9">
      <c r="A10" s="262">
        <v>3</v>
      </c>
      <c r="B10" s="239" t="s">
        <v>109</v>
      </c>
      <c r="C10" s="443"/>
      <c r="D10" s="443"/>
      <c r="E10" s="443"/>
      <c r="F10" s="443"/>
      <c r="G10" s="444"/>
      <c r="H10" s="263" t="str">
        <f t="shared" si="0"/>
        <v/>
      </c>
    </row>
    <row r="11" spans="1:9">
      <c r="A11" s="262">
        <v>4</v>
      </c>
      <c r="B11" s="239" t="s">
        <v>110</v>
      </c>
      <c r="C11" s="443"/>
      <c r="D11" s="443"/>
      <c r="E11" s="443"/>
      <c r="F11" s="443"/>
      <c r="G11" s="444"/>
      <c r="H11" s="263" t="str">
        <f t="shared" si="0"/>
        <v/>
      </c>
    </row>
    <row r="12" spans="1:9">
      <c r="A12" s="262">
        <v>5</v>
      </c>
      <c r="B12" s="239" t="s">
        <v>853</v>
      </c>
      <c r="C12" s="443"/>
      <c r="D12" s="443"/>
      <c r="E12" s="443"/>
      <c r="F12" s="443"/>
      <c r="G12" s="444"/>
      <c r="H12" s="263" t="str">
        <f t="shared" si="0"/>
        <v/>
      </c>
    </row>
    <row r="13" spans="1:9">
      <c r="A13" s="262">
        <v>6</v>
      </c>
      <c r="B13" s="239" t="s">
        <v>913</v>
      </c>
      <c r="C13" s="443">
        <v>4909751.4562999997</v>
      </c>
      <c r="D13" s="443"/>
      <c r="E13" s="443"/>
      <c r="F13" s="443">
        <v>1775870.4751499998</v>
      </c>
      <c r="G13" s="444">
        <v>1775870.4751499998</v>
      </c>
      <c r="H13" s="263">
        <f t="shared" si="0"/>
        <v>0.36170272384588281</v>
      </c>
    </row>
    <row r="14" spans="1:9">
      <c r="A14" s="262">
        <v>7</v>
      </c>
      <c r="B14" s="239" t="s">
        <v>64</v>
      </c>
      <c r="C14" s="443"/>
      <c r="D14" s="443"/>
      <c r="E14" s="443"/>
      <c r="F14" s="443"/>
      <c r="G14" s="444"/>
      <c r="H14" s="263" t="str">
        <f t="shared" si="0"/>
        <v/>
      </c>
    </row>
    <row r="15" spans="1:9">
      <c r="A15" s="262">
        <v>8</v>
      </c>
      <c r="B15" s="239" t="s">
        <v>65</v>
      </c>
      <c r="C15" s="443">
        <v>573393798.24760282</v>
      </c>
      <c r="D15" s="756">
        <v>2432766.9082999914</v>
      </c>
      <c r="E15" s="756">
        <v>588133.35978999827</v>
      </c>
      <c r="F15" s="443">
        <v>430045348.68570209</v>
      </c>
      <c r="G15" s="444">
        <v>430045348.68570209</v>
      </c>
      <c r="H15" s="263">
        <f t="shared" si="0"/>
        <v>0.7492315088758853</v>
      </c>
    </row>
    <row r="16" spans="1:9">
      <c r="A16" s="262">
        <v>9</v>
      </c>
      <c r="B16" s="239" t="s">
        <v>854</v>
      </c>
      <c r="C16" s="443"/>
      <c r="D16" s="443"/>
      <c r="E16" s="443"/>
      <c r="F16" s="443"/>
      <c r="G16" s="444"/>
      <c r="H16" s="263" t="str">
        <f t="shared" si="0"/>
        <v/>
      </c>
    </row>
    <row r="17" spans="1:8">
      <c r="A17" s="262">
        <v>10</v>
      </c>
      <c r="B17" s="239" t="s">
        <v>60</v>
      </c>
      <c r="C17" s="443">
        <v>3376831.0955011593</v>
      </c>
      <c r="D17" s="443"/>
      <c r="E17" s="443"/>
      <c r="F17" s="443">
        <v>3817173.5447136401</v>
      </c>
      <c r="G17" s="444">
        <v>3817173.5447136401</v>
      </c>
      <c r="H17" s="263">
        <f t="shared" si="0"/>
        <v>1.1304010881086515</v>
      </c>
    </row>
    <row r="18" spans="1:8">
      <c r="A18" s="262">
        <v>11</v>
      </c>
      <c r="B18" s="239" t="s">
        <v>61</v>
      </c>
      <c r="C18" s="443"/>
      <c r="D18" s="443"/>
      <c r="E18" s="443"/>
      <c r="F18" s="443"/>
      <c r="G18" s="444"/>
      <c r="H18" s="263" t="str">
        <f t="shared" si="0"/>
        <v/>
      </c>
    </row>
    <row r="19" spans="1:8">
      <c r="A19" s="262">
        <v>12</v>
      </c>
      <c r="B19" s="239" t="s">
        <v>62</v>
      </c>
      <c r="C19" s="443"/>
      <c r="D19" s="443"/>
      <c r="E19" s="443"/>
      <c r="F19" s="443"/>
      <c r="G19" s="444"/>
      <c r="H19" s="263" t="str">
        <f t="shared" si="0"/>
        <v/>
      </c>
    </row>
    <row r="20" spans="1:8">
      <c r="A20" s="262">
        <v>13</v>
      </c>
      <c r="B20" s="239" t="s">
        <v>63</v>
      </c>
      <c r="C20" s="443"/>
      <c r="D20" s="443"/>
      <c r="E20" s="443"/>
      <c r="F20" s="443"/>
      <c r="G20" s="444"/>
      <c r="H20" s="263" t="str">
        <f t="shared" si="0"/>
        <v/>
      </c>
    </row>
    <row r="21" spans="1:8">
      <c r="A21" s="262">
        <v>14</v>
      </c>
      <c r="B21" s="239" t="s">
        <v>126</v>
      </c>
      <c r="C21" s="443">
        <v>61062124.477100015</v>
      </c>
      <c r="D21" s="443"/>
      <c r="E21" s="443"/>
      <c r="F21" s="443">
        <v>39639111.386000015</v>
      </c>
      <c r="G21" s="444">
        <v>39639111.386000015</v>
      </c>
      <c r="H21" s="263">
        <f t="shared" si="0"/>
        <v>0.64916037110477176</v>
      </c>
    </row>
    <row r="22" spans="1:8" ht="14.4" thickBot="1">
      <c r="A22" s="264"/>
      <c r="B22" s="265" t="s">
        <v>59</v>
      </c>
      <c r="C22" s="477">
        <f>SUM(C8:C21)</f>
        <v>669747604.30030406</v>
      </c>
      <c r="D22" s="477">
        <f>SUM(D8:D21)</f>
        <v>2432766.9082999914</v>
      </c>
      <c r="E22" s="477">
        <f>SUM(E8:E21)</f>
        <v>588133.35978999827</v>
      </c>
      <c r="F22" s="477">
        <f>SUM(F8:F21)</f>
        <v>496867995.47536576</v>
      </c>
      <c r="G22" s="477">
        <f>SUM(G8:G21)</f>
        <v>496867995.47536576</v>
      </c>
      <c r="H22" s="478">
        <f t="shared" si="0"/>
        <v>0.7412225957245796</v>
      </c>
    </row>
    <row r="28" spans="1:8"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8"/>
  <sheetViews>
    <sheetView zoomScale="70" zoomScaleNormal="70" workbookViewId="0">
      <pane xSplit="2" ySplit="6" topLeftCell="C7" activePane="bottomRight" state="frozen"/>
      <selection activeCell="C24" sqref="C24"/>
      <selection pane="topRight" activeCell="C24" sqref="C24"/>
      <selection pane="bottomLeft" activeCell="C24" sqref="C24"/>
      <selection pane="bottomRight" activeCell="F23" sqref="F23:K25"/>
    </sheetView>
  </sheetViews>
  <sheetFormatPr defaultColWidth="9.21875" defaultRowHeight="13.8"/>
  <cols>
    <col min="1" max="1" width="12.88671875" style="11" customWidth="1"/>
    <col min="2" max="2" width="104.21875" style="11" customWidth="1"/>
    <col min="3" max="3" width="15.88671875" style="11" customWidth="1"/>
    <col min="4" max="4" width="16.21875" style="11" customWidth="1"/>
    <col min="5" max="5" width="15.44140625" style="11" customWidth="1"/>
    <col min="6" max="11" width="13.88671875" style="11" customWidth="1"/>
    <col min="12" max="16384" width="9.21875" style="1"/>
  </cols>
  <sheetData>
    <row r="1" spans="1:11">
      <c r="A1" s="336" t="s">
        <v>869</v>
      </c>
      <c r="B1" s="338" t="str">
        <f>Info!C2</f>
        <v>კრისტალი</v>
      </c>
    </row>
    <row r="2" spans="1:11">
      <c r="A2" s="336" t="s">
        <v>88</v>
      </c>
      <c r="B2" s="337">
        <f>'1. key ratios'!B2</f>
        <v>46112</v>
      </c>
    </row>
    <row r="4" spans="1:11" ht="14.4" thickBot="1">
      <c r="A4" s="11" t="s">
        <v>308</v>
      </c>
      <c r="B4" s="195" t="s">
        <v>307</v>
      </c>
    </row>
    <row r="5" spans="1:11" ht="30" customHeight="1">
      <c r="A5" s="826"/>
      <c r="B5" s="827"/>
      <c r="C5" s="824" t="s">
        <v>335</v>
      </c>
      <c r="D5" s="824"/>
      <c r="E5" s="824"/>
      <c r="F5" s="824" t="s">
        <v>336</v>
      </c>
      <c r="G5" s="824"/>
      <c r="H5" s="824"/>
      <c r="I5" s="824" t="s">
        <v>337</v>
      </c>
      <c r="J5" s="824"/>
      <c r="K5" s="825"/>
    </row>
    <row r="6" spans="1:11">
      <c r="A6" s="266"/>
      <c r="B6" s="267"/>
      <c r="C6" s="268" t="s">
        <v>26</v>
      </c>
      <c r="D6" s="268" t="s">
        <v>72</v>
      </c>
      <c r="E6" s="268" t="s">
        <v>59</v>
      </c>
      <c r="F6" s="268" t="s">
        <v>26</v>
      </c>
      <c r="G6" s="268" t="s">
        <v>72</v>
      </c>
      <c r="H6" s="268" t="s">
        <v>59</v>
      </c>
      <c r="I6" s="268" t="s">
        <v>26</v>
      </c>
      <c r="J6" s="268" t="s">
        <v>72</v>
      </c>
      <c r="K6" s="269" t="s">
        <v>59</v>
      </c>
    </row>
    <row r="7" spans="1:11">
      <c r="A7" s="270" t="s">
        <v>278</v>
      </c>
      <c r="B7" s="271"/>
      <c r="C7" s="271"/>
      <c r="D7" s="271"/>
      <c r="E7" s="271"/>
      <c r="F7" s="271"/>
      <c r="G7" s="271"/>
      <c r="H7" s="271"/>
      <c r="I7" s="271"/>
      <c r="J7" s="271"/>
      <c r="K7" s="272"/>
    </row>
    <row r="8" spans="1:11">
      <c r="A8" s="273">
        <v>1</v>
      </c>
      <c r="B8" s="274" t="s">
        <v>278</v>
      </c>
      <c r="C8" s="164"/>
      <c r="D8" s="164"/>
      <c r="E8" s="164"/>
      <c r="F8" s="406">
        <v>18347495.939040039</v>
      </c>
      <c r="G8" s="406">
        <v>37153387.07378117</v>
      </c>
      <c r="H8" s="411">
        <f>SUM(F8:G8)</f>
        <v>55500883.012821212</v>
      </c>
      <c r="I8" s="406">
        <v>16543565.892373374</v>
      </c>
      <c r="J8" s="406">
        <v>28923188.096814509</v>
      </c>
      <c r="K8" s="412">
        <f>SUM(I8:J8)</f>
        <v>45466753.989187881</v>
      </c>
    </row>
    <row r="9" spans="1:11">
      <c r="A9" s="270" t="s">
        <v>279</v>
      </c>
      <c r="B9" s="271"/>
      <c r="C9" s="271"/>
      <c r="D9" s="271"/>
      <c r="E9" s="271"/>
      <c r="F9" s="271"/>
      <c r="G9" s="271"/>
      <c r="H9" s="271"/>
      <c r="I9" s="271"/>
      <c r="J9" s="271"/>
      <c r="K9" s="272"/>
    </row>
    <row r="10" spans="1:11">
      <c r="A10" s="275">
        <v>2</v>
      </c>
      <c r="B10" s="276" t="s">
        <v>280</v>
      </c>
      <c r="C10" s="309">
        <v>41757243.110000007</v>
      </c>
      <c r="D10" s="406">
        <v>28036694.773866668</v>
      </c>
      <c r="E10" s="411">
        <f>SUM(C10:D10)</f>
        <v>69793937.883866668</v>
      </c>
      <c r="F10" s="406">
        <v>6199421.5712666661</v>
      </c>
      <c r="G10" s="406">
        <v>4955363.231980334</v>
      </c>
      <c r="H10" s="411">
        <f>SUM(F10:G10)</f>
        <v>11154784.803247001</v>
      </c>
      <c r="I10" s="406">
        <v>1195444.0081666668</v>
      </c>
      <c r="J10" s="406">
        <v>823562.48610166681</v>
      </c>
      <c r="K10" s="412">
        <f>SUM(I10:J10)</f>
        <v>2019006.4942683335</v>
      </c>
    </row>
    <row r="11" spans="1:11">
      <c r="A11" s="275">
        <v>3</v>
      </c>
      <c r="B11" s="276" t="s">
        <v>281</v>
      </c>
      <c r="C11" s="309">
        <v>205101986.84333333</v>
      </c>
      <c r="D11" s="406">
        <v>253033110.21660003</v>
      </c>
      <c r="E11" s="411">
        <f t="shared" ref="E11:E20" si="0">SUM(C11:D11)</f>
        <v>458135097.05993336</v>
      </c>
      <c r="F11" s="406">
        <v>4675174.862916667</v>
      </c>
      <c r="G11" s="406">
        <v>15224113.646765001</v>
      </c>
      <c r="H11" s="411">
        <f t="shared" ref="H11:H15" si="1">SUM(F11:G11)</f>
        <v>19899288.509681668</v>
      </c>
      <c r="I11" s="406">
        <v>4644792.1766666658</v>
      </c>
      <c r="J11" s="406">
        <v>15224111.86345</v>
      </c>
      <c r="K11" s="412">
        <f t="shared" ref="K11:K15" si="2">SUM(I11:J11)</f>
        <v>19868904.040116668</v>
      </c>
    </row>
    <row r="12" spans="1:11">
      <c r="A12" s="275">
        <v>4</v>
      </c>
      <c r="B12" s="276" t="s">
        <v>282</v>
      </c>
      <c r="C12" s="309">
        <v>0</v>
      </c>
      <c r="D12" s="406">
        <v>0</v>
      </c>
      <c r="E12" s="411">
        <f t="shared" si="0"/>
        <v>0</v>
      </c>
      <c r="F12" s="406">
        <v>0</v>
      </c>
      <c r="G12" s="406">
        <v>0</v>
      </c>
      <c r="H12" s="411">
        <f t="shared" si="1"/>
        <v>0</v>
      </c>
      <c r="I12" s="406">
        <v>0</v>
      </c>
      <c r="J12" s="406">
        <v>0</v>
      </c>
      <c r="K12" s="412">
        <f t="shared" si="2"/>
        <v>0</v>
      </c>
    </row>
    <row r="13" spans="1:11">
      <c r="A13" s="275">
        <v>5</v>
      </c>
      <c r="B13" s="276" t="s">
        <v>283</v>
      </c>
      <c r="C13" s="309">
        <v>22986258.620000001</v>
      </c>
      <c r="D13" s="406">
        <v>42545.025199999996</v>
      </c>
      <c r="E13" s="411">
        <f t="shared" si="0"/>
        <v>23028803.645199999</v>
      </c>
      <c r="F13" s="406">
        <v>4501472.3566666665</v>
      </c>
      <c r="G13" s="406">
        <v>8410.5693200000005</v>
      </c>
      <c r="H13" s="411">
        <f t="shared" si="1"/>
        <v>4509882.9259866662</v>
      </c>
      <c r="I13" s="406">
        <v>4135709.7166666673</v>
      </c>
      <c r="J13" s="406">
        <v>2102.6423300000001</v>
      </c>
      <c r="K13" s="412">
        <f t="shared" si="2"/>
        <v>4137812.3589966674</v>
      </c>
    </row>
    <row r="14" spans="1:11">
      <c r="A14" s="275">
        <v>6</v>
      </c>
      <c r="B14" s="276" t="s">
        <v>298</v>
      </c>
      <c r="C14" s="309">
        <v>0</v>
      </c>
      <c r="D14" s="406">
        <v>0</v>
      </c>
      <c r="E14" s="411">
        <f t="shared" si="0"/>
        <v>0</v>
      </c>
      <c r="F14" s="406">
        <v>0</v>
      </c>
      <c r="G14" s="406">
        <v>0</v>
      </c>
      <c r="H14" s="411">
        <f t="shared" si="1"/>
        <v>0</v>
      </c>
      <c r="I14" s="406">
        <v>0</v>
      </c>
      <c r="J14" s="406">
        <v>0</v>
      </c>
      <c r="K14" s="412">
        <f t="shared" si="2"/>
        <v>0</v>
      </c>
    </row>
    <row r="15" spans="1:11">
      <c r="A15" s="275">
        <v>7</v>
      </c>
      <c r="B15" s="276" t="s">
        <v>285</v>
      </c>
      <c r="C15" s="309">
        <v>1427109.3533333335</v>
      </c>
      <c r="D15" s="406">
        <v>729.22890000000007</v>
      </c>
      <c r="E15" s="411">
        <f t="shared" si="0"/>
        <v>1427838.5822333335</v>
      </c>
      <c r="F15" s="406">
        <v>642335.63333333342</v>
      </c>
      <c r="G15" s="406">
        <v>729.22890000000007</v>
      </c>
      <c r="H15" s="411">
        <f t="shared" si="1"/>
        <v>643064.86223333341</v>
      </c>
      <c r="I15" s="406">
        <v>642335.63333333342</v>
      </c>
      <c r="J15" s="406">
        <v>729.22890000000007</v>
      </c>
      <c r="K15" s="412">
        <f t="shared" si="2"/>
        <v>643064.86223333341</v>
      </c>
    </row>
    <row r="16" spans="1:11">
      <c r="A16" s="275">
        <v>8</v>
      </c>
      <c r="B16" s="277" t="s">
        <v>286</v>
      </c>
      <c r="C16" s="410">
        <f>SUM(C10:C15)</f>
        <v>271272597.92666668</v>
      </c>
      <c r="D16" s="411">
        <f t="shared" ref="D16:K16" si="3">SUM(D10:D15)</f>
        <v>281113079.24456674</v>
      </c>
      <c r="E16" s="411">
        <f t="shared" si="3"/>
        <v>552385677.1712333</v>
      </c>
      <c r="F16" s="411">
        <f t="shared" si="3"/>
        <v>16018404.424183331</v>
      </c>
      <c r="G16" s="411">
        <f t="shared" si="3"/>
        <v>20188616.676965337</v>
      </c>
      <c r="H16" s="411">
        <f t="shared" si="3"/>
        <v>36207021.101148672</v>
      </c>
      <c r="I16" s="411">
        <f t="shared" si="3"/>
        <v>10618281.534833333</v>
      </c>
      <c r="J16" s="411">
        <f t="shared" si="3"/>
        <v>16050506.220781667</v>
      </c>
      <c r="K16" s="412">
        <f t="shared" si="3"/>
        <v>26668787.755615003</v>
      </c>
    </row>
    <row r="17" spans="1:11">
      <c r="A17" s="270" t="s">
        <v>287</v>
      </c>
      <c r="B17" s="271"/>
      <c r="C17" s="408"/>
      <c r="D17" s="408"/>
      <c r="E17" s="408"/>
      <c r="F17" s="408"/>
      <c r="G17" s="408"/>
      <c r="H17" s="408"/>
      <c r="I17" s="408"/>
      <c r="J17" s="408"/>
      <c r="K17" s="409"/>
    </row>
    <row r="18" spans="1:11">
      <c r="A18" s="275">
        <v>9</v>
      </c>
      <c r="B18" s="276" t="s">
        <v>288</v>
      </c>
      <c r="C18" s="309">
        <v>0</v>
      </c>
      <c r="D18" s="406">
        <v>0</v>
      </c>
      <c r="E18" s="411">
        <f t="shared" si="0"/>
        <v>0</v>
      </c>
      <c r="F18" s="406">
        <v>0</v>
      </c>
      <c r="G18" s="406">
        <v>0</v>
      </c>
      <c r="H18" s="411">
        <f t="shared" ref="H18:H20" si="4">SUM(F18:G18)</f>
        <v>0</v>
      </c>
      <c r="I18" s="406">
        <v>0</v>
      </c>
      <c r="J18" s="406">
        <v>0</v>
      </c>
      <c r="K18" s="407">
        <f t="shared" ref="K18:K20" si="5">SUM(I18:J18)</f>
        <v>0</v>
      </c>
    </row>
    <row r="19" spans="1:11">
      <c r="A19" s="275">
        <v>10</v>
      </c>
      <c r="B19" s="276" t="s">
        <v>289</v>
      </c>
      <c r="C19" s="309">
        <v>542203116.23450148</v>
      </c>
      <c r="D19" s="406">
        <v>5916642.8966333345</v>
      </c>
      <c r="E19" s="411">
        <f t="shared" si="0"/>
        <v>548119759.13113487</v>
      </c>
      <c r="F19" s="406">
        <v>23435597.917175453</v>
      </c>
      <c r="G19" s="406">
        <v>5483.4226833333341</v>
      </c>
      <c r="H19" s="411">
        <f t="shared" si="4"/>
        <v>23441081.339858785</v>
      </c>
      <c r="I19" s="406">
        <v>25239527.96384212</v>
      </c>
      <c r="J19" s="406">
        <v>8235682.39965</v>
      </c>
      <c r="K19" s="407">
        <f t="shared" si="5"/>
        <v>33475210.36349212</v>
      </c>
    </row>
    <row r="20" spans="1:11">
      <c r="A20" s="275">
        <v>11</v>
      </c>
      <c r="B20" s="276" t="s">
        <v>290</v>
      </c>
      <c r="C20" s="309">
        <v>1368531.3266666669</v>
      </c>
      <c r="D20" s="406">
        <v>45987.631966666668</v>
      </c>
      <c r="E20" s="411">
        <f t="shared" si="0"/>
        <v>1414518.9586333334</v>
      </c>
      <c r="F20" s="406">
        <v>0</v>
      </c>
      <c r="G20" s="406">
        <v>0</v>
      </c>
      <c r="H20" s="411">
        <f t="shared" si="4"/>
        <v>0</v>
      </c>
      <c r="I20" s="406">
        <v>0</v>
      </c>
      <c r="J20" s="406">
        <v>0</v>
      </c>
      <c r="K20" s="407">
        <f t="shared" si="5"/>
        <v>0</v>
      </c>
    </row>
    <row r="21" spans="1:11" ht="14.4" thickBot="1">
      <c r="A21" s="278">
        <v>12</v>
      </c>
      <c r="B21" s="279" t="s">
        <v>291</v>
      </c>
      <c r="C21" s="413">
        <f>SUM(C18:C20)</f>
        <v>543571647.56116819</v>
      </c>
      <c r="D21" s="414">
        <f t="shared" ref="D21:K21" si="6">SUM(D18:D20)</f>
        <v>5962630.5286000008</v>
      </c>
      <c r="E21" s="413">
        <f t="shared" si="6"/>
        <v>549534278.08976817</v>
      </c>
      <c r="F21" s="414">
        <f t="shared" si="6"/>
        <v>23435597.917175453</v>
      </c>
      <c r="G21" s="414">
        <f t="shared" si="6"/>
        <v>5483.4226833333341</v>
      </c>
      <c r="H21" s="414">
        <f t="shared" si="6"/>
        <v>23441081.339858785</v>
      </c>
      <c r="I21" s="414">
        <f t="shared" si="6"/>
        <v>25239527.96384212</v>
      </c>
      <c r="J21" s="414">
        <f t="shared" si="6"/>
        <v>8235682.39965</v>
      </c>
      <c r="K21" s="415">
        <f t="shared" si="6"/>
        <v>33475210.36349212</v>
      </c>
    </row>
    <row r="22" spans="1:11" ht="38.25" customHeight="1" thickBot="1">
      <c r="A22" s="280"/>
      <c r="B22" s="281"/>
      <c r="C22" s="281"/>
      <c r="D22" s="281"/>
      <c r="E22" s="281"/>
      <c r="F22" s="823" t="s">
        <v>292</v>
      </c>
      <c r="G22" s="824"/>
      <c r="H22" s="824"/>
      <c r="I22" s="823" t="s">
        <v>293</v>
      </c>
      <c r="J22" s="824"/>
      <c r="K22" s="825"/>
    </row>
    <row r="23" spans="1:11">
      <c r="A23" s="282">
        <v>13</v>
      </c>
      <c r="B23" s="283" t="s">
        <v>278</v>
      </c>
      <c r="C23" s="284"/>
      <c r="D23" s="284"/>
      <c r="E23" s="284"/>
      <c r="F23" s="416">
        <f>F8</f>
        <v>18347495.939040039</v>
      </c>
      <c r="G23" s="416">
        <f>G8</f>
        <v>37153387.07378117</v>
      </c>
      <c r="H23" s="416">
        <f t="shared" ref="H23" si="7">SUM(F23:G23)</f>
        <v>55500883.012821212</v>
      </c>
      <c r="I23" s="416">
        <f>I8</f>
        <v>16543565.892373374</v>
      </c>
      <c r="J23" s="416">
        <f>J8</f>
        <v>28923188.096814509</v>
      </c>
      <c r="K23" s="417">
        <f t="shared" ref="K23" si="8">SUM(I23:J23)</f>
        <v>45466753.989187881</v>
      </c>
    </row>
    <row r="24" spans="1:11" ht="14.4" thickBot="1">
      <c r="A24" s="285">
        <v>14</v>
      </c>
      <c r="B24" s="286" t="s">
        <v>294</v>
      </c>
      <c r="C24" s="287"/>
      <c r="D24" s="288"/>
      <c r="E24" s="289"/>
      <c r="F24" s="418">
        <f t="shared" ref="F24:K24" si="9">MAX(F16-F21,F16*0.25)</f>
        <v>4004601.1060458329</v>
      </c>
      <c r="G24" s="418">
        <f t="shared" si="9"/>
        <v>20183133.254282005</v>
      </c>
      <c r="H24" s="418">
        <f t="shared" si="9"/>
        <v>12765939.761289887</v>
      </c>
      <c r="I24" s="418">
        <f t="shared" si="9"/>
        <v>2654570.3837083331</v>
      </c>
      <c r="J24" s="418">
        <f t="shared" si="9"/>
        <v>7814823.8211316671</v>
      </c>
      <c r="K24" s="419">
        <f t="shared" si="9"/>
        <v>6667196.9389037509</v>
      </c>
    </row>
    <row r="25" spans="1:11" ht="14.4" thickBot="1">
      <c r="A25" s="290">
        <v>15</v>
      </c>
      <c r="B25" s="291" t="s">
        <v>295</v>
      </c>
      <c r="C25" s="292"/>
      <c r="D25" s="292"/>
      <c r="E25" s="292"/>
      <c r="F25" s="681">
        <f>F23/F24</f>
        <v>4.5816038734395859</v>
      </c>
      <c r="G25" s="681">
        <f t="shared" ref="G25:H25" si="10">G23/G24</f>
        <v>1.8408136440311513</v>
      </c>
      <c r="H25" s="681">
        <f t="shared" si="10"/>
        <v>4.347575192318887</v>
      </c>
      <c r="I25" s="681">
        <f>I23/I24</f>
        <v>6.2321067069476781</v>
      </c>
      <c r="J25" s="681">
        <f t="shared" ref="J25:K25" si="11">J23/J24</f>
        <v>3.7010671972674278</v>
      </c>
      <c r="K25" s="682">
        <f t="shared" si="11"/>
        <v>6.8194706719828382</v>
      </c>
    </row>
    <row r="28" spans="1:11" s="148" customFormat="1" ht="41.4">
      <c r="A28" s="293"/>
      <c r="B28" s="294" t="s">
        <v>942</v>
      </c>
      <c r="C28" s="293"/>
      <c r="D28" s="293"/>
      <c r="E28" s="293"/>
      <c r="F28" s="293"/>
      <c r="G28" s="293"/>
      <c r="H28" s="293"/>
      <c r="I28" s="293"/>
      <c r="J28" s="293"/>
      <c r="K28" s="293"/>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42"/>
  <sheetViews>
    <sheetView zoomScale="70" zoomScaleNormal="70" workbookViewId="0">
      <pane xSplit="2" ySplit="9" topLeftCell="C10" activePane="bottomRight" state="frozen"/>
      <selection activeCell="C24" sqref="C24"/>
      <selection pane="topRight" activeCell="C24" sqref="C24"/>
      <selection pane="bottomLeft" activeCell="C24" sqref="C24"/>
      <selection pane="bottomRight" activeCell="C6" sqref="C6:P34"/>
    </sheetView>
  </sheetViews>
  <sheetFormatPr defaultColWidth="9.21875" defaultRowHeight="13.8"/>
  <cols>
    <col min="1" max="1" width="15.33203125" style="9" bestFit="1" customWidth="1"/>
    <col min="2" max="2" width="81" style="9" customWidth="1"/>
    <col min="3" max="3" width="18.6640625" style="9" customWidth="1"/>
    <col min="4" max="9" width="15.77734375" style="9" customWidth="1"/>
    <col min="10" max="14" width="12.33203125" style="9" customWidth="1"/>
    <col min="15" max="15" width="15.5546875" style="394" customWidth="1"/>
    <col min="16" max="16" width="12.33203125" style="394" customWidth="1"/>
    <col min="17" max="17" width="18.21875" style="394" customWidth="1"/>
    <col min="18" max="16384" width="9.21875" style="395"/>
  </cols>
  <sheetData>
    <row r="1" spans="1:17">
      <c r="A1" s="336" t="s">
        <v>869</v>
      </c>
      <c r="B1" s="338" t="str">
        <f>Info!C2</f>
        <v>კრისტალი</v>
      </c>
    </row>
    <row r="2" spans="1:17" ht="14.25" customHeight="1">
      <c r="A2" s="336" t="s">
        <v>88</v>
      </c>
      <c r="B2" s="337">
        <f>'1. key ratios'!B2</f>
        <v>46112</v>
      </c>
    </row>
    <row r="3" spans="1:17">
      <c r="B3" s="394"/>
      <c r="C3" s="394"/>
      <c r="D3" s="394"/>
      <c r="E3" s="394"/>
      <c r="F3" s="394"/>
      <c r="G3" s="394"/>
      <c r="H3" s="394"/>
      <c r="I3" s="394"/>
      <c r="J3" s="394"/>
      <c r="K3" s="394"/>
      <c r="L3" s="394"/>
      <c r="M3" s="394"/>
      <c r="N3" s="394"/>
    </row>
    <row r="4" spans="1:17" ht="14.4">
      <c r="B4" s="392" t="s">
        <v>894</v>
      </c>
      <c r="C4" s="394"/>
      <c r="D4" s="394"/>
      <c r="E4" s="394"/>
      <c r="F4" s="394"/>
      <c r="G4" s="394"/>
      <c r="H4" s="394"/>
      <c r="I4" s="394"/>
      <c r="J4" s="394"/>
      <c r="K4" s="394"/>
      <c r="L4" s="394"/>
      <c r="M4" s="394"/>
      <c r="N4" s="394"/>
    </row>
    <row r="5" spans="1:17" ht="86.4">
      <c r="B5" s="393" t="s">
        <v>871</v>
      </c>
      <c r="C5" s="295" t="s">
        <v>872</v>
      </c>
      <c r="D5" s="295" t="s">
        <v>873</v>
      </c>
      <c r="E5" s="295" t="s">
        <v>874</v>
      </c>
      <c r="F5" s="295" t="s">
        <v>875</v>
      </c>
      <c r="G5" s="295" t="s">
        <v>876</v>
      </c>
      <c r="H5" s="295" t="s">
        <v>945</v>
      </c>
      <c r="I5" s="296" t="s">
        <v>877</v>
      </c>
      <c r="J5" s="297">
        <v>0.02</v>
      </c>
      <c r="K5" s="297">
        <v>0.2</v>
      </c>
      <c r="L5" s="297">
        <v>0.35</v>
      </c>
      <c r="M5" s="297">
        <v>0.5</v>
      </c>
      <c r="N5" s="297">
        <v>0.75</v>
      </c>
      <c r="O5" s="297">
        <v>1</v>
      </c>
      <c r="P5" s="297">
        <v>1.5</v>
      </c>
      <c r="Q5" s="298" t="s">
        <v>66</v>
      </c>
    </row>
    <row r="6" spans="1:17" ht="14.4">
      <c r="B6" s="396"/>
      <c r="C6" s="399">
        <f>IF(C7&gt;0,C7,IF(C8&gt;0,C8,IF(C9&gt;0,C9,0)))</f>
        <v>267221388.00000003</v>
      </c>
      <c r="D6" s="399">
        <f t="shared" ref="D6:G6" si="0">IF(D7&gt;0,D7,IF(D8&gt;0,D8,IF(D9&gt;0,D9,0)))</f>
        <v>0</v>
      </c>
      <c r="E6" s="399">
        <f t="shared" si="0"/>
        <v>0</v>
      </c>
      <c r="F6" s="399">
        <f t="shared" si="0"/>
        <v>0</v>
      </c>
      <c r="G6" s="399">
        <f t="shared" si="0"/>
        <v>2317802.113281535</v>
      </c>
      <c r="H6" s="397"/>
      <c r="I6" s="399">
        <f t="shared" ref="I6:P6" si="1">IF(I7&gt;0,I7,IF(I8&gt;0,I8,IF(I9&gt;0,I9,0)))</f>
        <v>3244922.958594149</v>
      </c>
      <c r="J6" s="399">
        <f t="shared" si="1"/>
        <v>0</v>
      </c>
      <c r="K6" s="399">
        <f t="shared" si="1"/>
        <v>0</v>
      </c>
      <c r="L6" s="399">
        <f t="shared" si="1"/>
        <v>0</v>
      </c>
      <c r="M6" s="399">
        <f t="shared" si="1"/>
        <v>210044.95201482822</v>
      </c>
      <c r="N6" s="399">
        <f t="shared" si="1"/>
        <v>0</v>
      </c>
      <c r="O6" s="399">
        <f t="shared" si="1"/>
        <v>3034878.0065793204</v>
      </c>
      <c r="P6" s="399">
        <f t="shared" si="1"/>
        <v>0</v>
      </c>
      <c r="Q6" s="399">
        <f t="shared" ref="Q6" si="2">IF(Q7&gt;0,Q7,IF(Q8&gt;0,Q8,IF(Q9&gt;0,Q9)))</f>
        <v>3139900.4825867345</v>
      </c>
    </row>
    <row r="7" spans="1:17" ht="14.4">
      <c r="B7" s="398" t="s">
        <v>878</v>
      </c>
      <c r="C7" s="399">
        <f>C11+C15+C19+C23+C27+C31</f>
        <v>267221388.00000003</v>
      </c>
      <c r="D7" s="399">
        <f t="shared" ref="D7:G7" si="3">D11+D15+D19+D23+D27+D31</f>
        <v>-13248709.142860774</v>
      </c>
      <c r="E7" s="399">
        <f t="shared" si="3"/>
        <v>0</v>
      </c>
      <c r="F7" s="399">
        <f t="shared" si="3"/>
        <v>0</v>
      </c>
      <c r="G7" s="399">
        <f t="shared" si="3"/>
        <v>2317802.113281535</v>
      </c>
      <c r="H7" s="400">
        <v>1.4</v>
      </c>
      <c r="I7" s="401">
        <f t="shared" ref="I7:I33" si="4">(F7+G7)*H7</f>
        <v>3244922.958594149</v>
      </c>
      <c r="J7" s="399">
        <f>J11+J15+J19+J23+J27+J31</f>
        <v>0</v>
      </c>
      <c r="K7" s="399">
        <f t="shared" ref="J7:Q9" si="5">K11+K15+K19+K23+K27+K31</f>
        <v>0</v>
      </c>
      <c r="L7" s="399">
        <f t="shared" si="5"/>
        <v>0</v>
      </c>
      <c r="M7" s="399">
        <f t="shared" si="5"/>
        <v>210044.95201482822</v>
      </c>
      <c r="N7" s="399">
        <f t="shared" si="5"/>
        <v>0</v>
      </c>
      <c r="O7" s="399">
        <f t="shared" si="5"/>
        <v>3034878.0065793204</v>
      </c>
      <c r="P7" s="399">
        <f t="shared" si="5"/>
        <v>0</v>
      </c>
      <c r="Q7" s="399">
        <f>Q11+Q15+Q19+Q23+Q27+Q31</f>
        <v>3139900.4825867345</v>
      </c>
    </row>
    <row r="8" spans="1:17" ht="14.4">
      <c r="B8" s="398" t="s">
        <v>879</v>
      </c>
      <c r="C8" s="399">
        <f>C12+C16+C20+C24+C28+C32</f>
        <v>0</v>
      </c>
      <c r="D8" s="399">
        <f t="shared" ref="D8:G8" si="6">D12+D16+D20+D24+D28+D32</f>
        <v>0</v>
      </c>
      <c r="E8" s="399">
        <f t="shared" si="6"/>
        <v>0</v>
      </c>
      <c r="F8" s="399">
        <f t="shared" si="6"/>
        <v>0</v>
      </c>
      <c r="G8" s="399">
        <f t="shared" si="6"/>
        <v>0</v>
      </c>
      <c r="H8" s="400">
        <v>1.4</v>
      </c>
      <c r="I8" s="401">
        <f t="shared" si="4"/>
        <v>0</v>
      </c>
      <c r="J8" s="399">
        <f t="shared" si="5"/>
        <v>0</v>
      </c>
      <c r="K8" s="399">
        <f t="shared" si="5"/>
        <v>0</v>
      </c>
      <c r="L8" s="399">
        <f t="shared" si="5"/>
        <v>0</v>
      </c>
      <c r="M8" s="399">
        <f t="shared" si="5"/>
        <v>0</v>
      </c>
      <c r="N8" s="399">
        <f t="shared" si="5"/>
        <v>0</v>
      </c>
      <c r="O8" s="399">
        <f t="shared" si="5"/>
        <v>0</v>
      </c>
      <c r="P8" s="399">
        <f t="shared" si="5"/>
        <v>0</v>
      </c>
      <c r="Q8" s="399">
        <f>Q12+Q16+Q20+Q24+Q28+Q32</f>
        <v>0</v>
      </c>
    </row>
    <row r="9" spans="1:17" ht="14.4">
      <c r="B9" s="398" t="s">
        <v>880</v>
      </c>
      <c r="C9" s="399">
        <f>C13+C17+C21+C25+C29+C33</f>
        <v>0</v>
      </c>
      <c r="D9" s="399">
        <f t="shared" ref="D9:G9" si="7">D13+D17+D21+D25+D29+D33</f>
        <v>0</v>
      </c>
      <c r="E9" s="399">
        <f t="shared" si="7"/>
        <v>0</v>
      </c>
      <c r="F9" s="399">
        <f t="shared" si="7"/>
        <v>0</v>
      </c>
      <c r="G9" s="399">
        <f t="shared" si="7"/>
        <v>0</v>
      </c>
      <c r="H9" s="400">
        <v>1.4</v>
      </c>
      <c r="I9" s="401">
        <f t="shared" si="4"/>
        <v>0</v>
      </c>
      <c r="J9" s="399">
        <f t="shared" si="5"/>
        <v>0</v>
      </c>
      <c r="K9" s="399">
        <f t="shared" si="5"/>
        <v>0</v>
      </c>
      <c r="L9" s="399">
        <f t="shared" si="5"/>
        <v>0</v>
      </c>
      <c r="M9" s="399">
        <f t="shared" si="5"/>
        <v>0</v>
      </c>
      <c r="N9" s="399">
        <f t="shared" si="5"/>
        <v>0</v>
      </c>
      <c r="O9" s="399">
        <f t="shared" si="5"/>
        <v>0</v>
      </c>
      <c r="P9" s="399">
        <f t="shared" si="5"/>
        <v>0</v>
      </c>
      <c r="Q9" s="399">
        <f t="shared" si="5"/>
        <v>0</v>
      </c>
    </row>
    <row r="10" spans="1:17" ht="14.4">
      <c r="B10" s="299" t="s">
        <v>881</v>
      </c>
      <c r="C10" s="402"/>
      <c r="D10" s="402"/>
      <c r="E10" s="402"/>
      <c r="F10" s="402"/>
      <c r="G10" s="402"/>
      <c r="H10" s="400">
        <v>1.4</v>
      </c>
      <c r="I10" s="401">
        <f t="shared" si="4"/>
        <v>0</v>
      </c>
      <c r="J10" s="402"/>
      <c r="K10" s="402"/>
      <c r="L10" s="402"/>
      <c r="M10" s="402"/>
      <c r="N10" s="402"/>
      <c r="O10" s="402"/>
      <c r="P10" s="402"/>
      <c r="Q10" s="399">
        <f>SUM(Q11:Q13)</f>
        <v>0</v>
      </c>
    </row>
    <row r="11" spans="1:17" ht="14.4">
      <c r="B11" s="403" t="s">
        <v>878</v>
      </c>
      <c r="C11" s="402"/>
      <c r="D11" s="402"/>
      <c r="E11" s="402"/>
      <c r="F11" s="402"/>
      <c r="G11" s="402"/>
      <c r="H11" s="400">
        <v>1.4</v>
      </c>
      <c r="I11" s="401">
        <f t="shared" si="4"/>
        <v>0</v>
      </c>
      <c r="J11" s="402"/>
      <c r="K11" s="402"/>
      <c r="L11" s="402"/>
      <c r="M11" s="402"/>
      <c r="N11" s="402"/>
      <c r="O11" s="402"/>
      <c r="P11" s="402"/>
      <c r="Q11" s="399">
        <f>SUMPRODUCT($J$5:$P$5,J11:P11)</f>
        <v>0</v>
      </c>
    </row>
    <row r="12" spans="1:17" ht="14.4">
      <c r="B12" s="403" t="s">
        <v>879</v>
      </c>
      <c r="C12" s="402"/>
      <c r="D12" s="402"/>
      <c r="E12" s="402"/>
      <c r="F12" s="402"/>
      <c r="G12" s="402"/>
      <c r="H12" s="400">
        <v>1.4</v>
      </c>
      <c r="I12" s="401">
        <f t="shared" si="4"/>
        <v>0</v>
      </c>
      <c r="J12" s="402"/>
      <c r="K12" s="402"/>
      <c r="L12" s="402"/>
      <c r="M12" s="402"/>
      <c r="N12" s="402"/>
      <c r="O12" s="402"/>
      <c r="P12" s="402"/>
      <c r="Q12" s="399">
        <f t="shared" ref="Q12:Q13" si="8">SUMPRODUCT($J$5:$P$5,J12:P12)</f>
        <v>0</v>
      </c>
    </row>
    <row r="13" spans="1:17" ht="14.4">
      <c r="B13" s="403" t="s">
        <v>880</v>
      </c>
      <c r="C13" s="402"/>
      <c r="D13" s="402"/>
      <c r="E13" s="402"/>
      <c r="F13" s="402"/>
      <c r="G13" s="402"/>
      <c r="H13" s="400">
        <v>1.4</v>
      </c>
      <c r="I13" s="401">
        <f t="shared" si="4"/>
        <v>0</v>
      </c>
      <c r="J13" s="402"/>
      <c r="K13" s="402"/>
      <c r="L13" s="402"/>
      <c r="M13" s="402"/>
      <c r="N13" s="402"/>
      <c r="O13" s="402"/>
      <c r="P13" s="402"/>
      <c r="Q13" s="399">
        <f t="shared" si="8"/>
        <v>0</v>
      </c>
    </row>
    <row r="14" spans="1:17" ht="14.4">
      <c r="B14" s="299" t="s">
        <v>882</v>
      </c>
      <c r="C14" s="402"/>
      <c r="D14" s="402"/>
      <c r="E14" s="402"/>
      <c r="F14" s="402"/>
      <c r="G14" s="402"/>
      <c r="H14" s="400">
        <v>1.4</v>
      </c>
      <c r="I14" s="401">
        <f t="shared" si="4"/>
        <v>0</v>
      </c>
      <c r="J14" s="402"/>
      <c r="K14" s="402"/>
      <c r="L14" s="402"/>
      <c r="M14" s="402"/>
      <c r="N14" s="402"/>
      <c r="O14" s="402"/>
      <c r="P14" s="402"/>
      <c r="Q14" s="399">
        <f>SUM(Q15:Q17)</f>
        <v>0</v>
      </c>
    </row>
    <row r="15" spans="1:17" ht="14.4">
      <c r="B15" s="403" t="s">
        <v>878</v>
      </c>
      <c r="C15" s="402"/>
      <c r="D15" s="402"/>
      <c r="E15" s="402"/>
      <c r="F15" s="402"/>
      <c r="G15" s="402"/>
      <c r="H15" s="400">
        <v>1.4</v>
      </c>
      <c r="I15" s="401">
        <f t="shared" si="4"/>
        <v>0</v>
      </c>
      <c r="J15" s="402"/>
      <c r="K15" s="402"/>
      <c r="L15" s="402"/>
      <c r="M15" s="402"/>
      <c r="N15" s="402"/>
      <c r="O15" s="402"/>
      <c r="P15" s="402"/>
      <c r="Q15" s="399">
        <f>SUMPRODUCT($J$5:$P$5,J15:P15)</f>
        <v>0</v>
      </c>
    </row>
    <row r="16" spans="1:17" ht="14.4">
      <c r="B16" s="403" t="s">
        <v>879</v>
      </c>
      <c r="C16" s="402"/>
      <c r="D16" s="402"/>
      <c r="E16" s="402"/>
      <c r="F16" s="402"/>
      <c r="G16" s="402"/>
      <c r="H16" s="400">
        <v>1.4</v>
      </c>
      <c r="I16" s="401">
        <f t="shared" si="4"/>
        <v>0</v>
      </c>
      <c r="J16" s="402"/>
      <c r="K16" s="402"/>
      <c r="L16" s="402"/>
      <c r="M16" s="402"/>
      <c r="N16" s="402"/>
      <c r="O16" s="402"/>
      <c r="P16" s="402"/>
      <c r="Q16" s="399">
        <f t="shared" ref="Q16:Q17" si="9">SUMPRODUCT($J$5:$P$5,J16:P16)</f>
        <v>0</v>
      </c>
    </row>
    <row r="17" spans="2:17" ht="14.4">
      <c r="B17" s="403" t="s">
        <v>880</v>
      </c>
      <c r="C17" s="402"/>
      <c r="D17" s="402"/>
      <c r="E17" s="402"/>
      <c r="F17" s="402"/>
      <c r="G17" s="402"/>
      <c r="H17" s="400">
        <v>1.4</v>
      </c>
      <c r="I17" s="401">
        <f t="shared" si="4"/>
        <v>0</v>
      </c>
      <c r="J17" s="402"/>
      <c r="K17" s="402"/>
      <c r="L17" s="402"/>
      <c r="M17" s="402"/>
      <c r="N17" s="402"/>
      <c r="O17" s="402"/>
      <c r="P17" s="402"/>
      <c r="Q17" s="399">
        <f t="shared" si="9"/>
        <v>0</v>
      </c>
    </row>
    <row r="18" spans="2:17" ht="14.4">
      <c r="B18" s="299" t="s">
        <v>883</v>
      </c>
      <c r="C18" s="402"/>
      <c r="D18" s="402"/>
      <c r="E18" s="402"/>
      <c r="F18" s="402"/>
      <c r="G18" s="402"/>
      <c r="H18" s="400">
        <v>1.4</v>
      </c>
      <c r="I18" s="401">
        <f t="shared" si="4"/>
        <v>0</v>
      </c>
      <c r="J18" s="402"/>
      <c r="K18" s="402"/>
      <c r="L18" s="402"/>
      <c r="M18" s="402"/>
      <c r="N18" s="402"/>
      <c r="O18" s="402"/>
      <c r="P18" s="402"/>
      <c r="Q18" s="399">
        <f>SUM(Q19:Q21)</f>
        <v>3139900.4825867345</v>
      </c>
    </row>
    <row r="19" spans="2:17" ht="14.4">
      <c r="B19" s="403" t="s">
        <v>878</v>
      </c>
      <c r="C19" s="402">
        <v>267221388.00000003</v>
      </c>
      <c r="D19" s="402">
        <v>-13248709.142860774</v>
      </c>
      <c r="E19" s="402">
        <v>0</v>
      </c>
      <c r="F19" s="402">
        <v>0</v>
      </c>
      <c r="G19" s="402">
        <v>2317802.113281535</v>
      </c>
      <c r="H19" s="400">
        <v>1.4</v>
      </c>
      <c r="I19" s="401">
        <f t="shared" si="4"/>
        <v>3244922.958594149</v>
      </c>
      <c r="J19" s="402"/>
      <c r="K19" s="402"/>
      <c r="L19" s="402"/>
      <c r="M19" s="402">
        <v>210044.95201482822</v>
      </c>
      <c r="N19" s="402"/>
      <c r="O19" s="402">
        <v>3034878.0065793204</v>
      </c>
      <c r="P19" s="402"/>
      <c r="Q19" s="399">
        <f t="shared" ref="Q19:Q21" si="10">SUMPRODUCT($J$5:$P$5,J19:P19)</f>
        <v>3139900.4825867345</v>
      </c>
    </row>
    <row r="20" spans="2:17" ht="14.4">
      <c r="B20" s="403" t="s">
        <v>879</v>
      </c>
      <c r="C20" s="402"/>
      <c r="D20" s="402"/>
      <c r="E20" s="402"/>
      <c r="F20" s="402"/>
      <c r="G20" s="402"/>
      <c r="H20" s="400">
        <v>1.4</v>
      </c>
      <c r="I20" s="401">
        <f t="shared" si="4"/>
        <v>0</v>
      </c>
      <c r="J20" s="402"/>
      <c r="K20" s="402"/>
      <c r="L20" s="402"/>
      <c r="M20" s="402"/>
      <c r="N20" s="402"/>
      <c r="O20" s="402"/>
      <c r="P20" s="402"/>
      <c r="Q20" s="399">
        <f t="shared" si="10"/>
        <v>0</v>
      </c>
    </row>
    <row r="21" spans="2:17" ht="14.4">
      <c r="B21" s="403" t="s">
        <v>880</v>
      </c>
      <c r="C21" s="402"/>
      <c r="D21" s="402"/>
      <c r="E21" s="402"/>
      <c r="F21" s="402"/>
      <c r="G21" s="402"/>
      <c r="H21" s="400">
        <v>1.4</v>
      </c>
      <c r="I21" s="401">
        <f t="shared" si="4"/>
        <v>0</v>
      </c>
      <c r="J21" s="402"/>
      <c r="K21" s="402"/>
      <c r="L21" s="402"/>
      <c r="M21" s="402"/>
      <c r="N21" s="402"/>
      <c r="O21" s="402"/>
      <c r="P21" s="402"/>
      <c r="Q21" s="399">
        <f t="shared" si="10"/>
        <v>0</v>
      </c>
    </row>
    <row r="22" spans="2:17" ht="14.4">
      <c r="B22" s="299" t="s">
        <v>884</v>
      </c>
      <c r="C22" s="402"/>
      <c r="D22" s="402"/>
      <c r="E22" s="402"/>
      <c r="F22" s="402"/>
      <c r="G22" s="402"/>
      <c r="H22" s="400">
        <v>1.4</v>
      </c>
      <c r="I22" s="401">
        <f t="shared" si="4"/>
        <v>0</v>
      </c>
      <c r="J22" s="402"/>
      <c r="K22" s="402"/>
      <c r="L22" s="402"/>
      <c r="M22" s="402"/>
      <c r="N22" s="402"/>
      <c r="O22" s="402"/>
      <c r="P22" s="402"/>
      <c r="Q22" s="399">
        <f>SUM(Q23:Q25)</f>
        <v>0</v>
      </c>
    </row>
    <row r="23" spans="2:17" ht="14.4">
      <c r="B23" s="403" t="s">
        <v>878</v>
      </c>
      <c r="C23" s="402"/>
      <c r="D23" s="402"/>
      <c r="E23" s="402"/>
      <c r="F23" s="402"/>
      <c r="G23" s="402"/>
      <c r="H23" s="400">
        <v>1.4</v>
      </c>
      <c r="I23" s="401">
        <f t="shared" si="4"/>
        <v>0</v>
      </c>
      <c r="J23" s="402"/>
      <c r="K23" s="402"/>
      <c r="L23" s="402"/>
      <c r="M23" s="402"/>
      <c r="N23" s="402"/>
      <c r="O23" s="402"/>
      <c r="P23" s="402"/>
      <c r="Q23" s="399">
        <f>SUMPRODUCT($J$5:$P$5,J23:P23)</f>
        <v>0</v>
      </c>
    </row>
    <row r="24" spans="2:17" ht="14.4">
      <c r="B24" s="403" t="s">
        <v>879</v>
      </c>
      <c r="C24" s="402"/>
      <c r="D24" s="402"/>
      <c r="E24" s="402"/>
      <c r="F24" s="402"/>
      <c r="G24" s="402"/>
      <c r="H24" s="400">
        <v>1.4</v>
      </c>
      <c r="I24" s="401">
        <f t="shared" si="4"/>
        <v>0</v>
      </c>
      <c r="J24" s="402"/>
      <c r="K24" s="402"/>
      <c r="L24" s="402"/>
      <c r="M24" s="402"/>
      <c r="N24" s="402"/>
      <c r="O24" s="402"/>
      <c r="P24" s="402"/>
      <c r="Q24" s="399">
        <f t="shared" ref="Q24:Q25" si="11">SUMPRODUCT($J$5:$P$5,J24:P24)</f>
        <v>0</v>
      </c>
    </row>
    <row r="25" spans="2:17" ht="14.4">
      <c r="B25" s="403" t="s">
        <v>880</v>
      </c>
      <c r="C25" s="402"/>
      <c r="D25" s="402"/>
      <c r="E25" s="402"/>
      <c r="F25" s="402"/>
      <c r="G25" s="402"/>
      <c r="H25" s="400">
        <v>1.4</v>
      </c>
      <c r="I25" s="401">
        <f t="shared" si="4"/>
        <v>0</v>
      </c>
      <c r="J25" s="402"/>
      <c r="K25" s="402"/>
      <c r="L25" s="402"/>
      <c r="M25" s="402"/>
      <c r="N25" s="402"/>
      <c r="O25" s="402"/>
      <c r="P25" s="402"/>
      <c r="Q25" s="399">
        <f t="shared" si="11"/>
        <v>0</v>
      </c>
    </row>
    <row r="26" spans="2:17" ht="14.4">
      <c r="B26" s="299" t="s">
        <v>885</v>
      </c>
      <c r="C26" s="402"/>
      <c r="D26" s="402"/>
      <c r="E26" s="402"/>
      <c r="F26" s="402"/>
      <c r="G26" s="402"/>
      <c r="H26" s="400">
        <v>1.4</v>
      </c>
      <c r="I26" s="401">
        <f t="shared" si="4"/>
        <v>0</v>
      </c>
      <c r="J26" s="402"/>
      <c r="K26" s="402"/>
      <c r="L26" s="402"/>
      <c r="M26" s="402"/>
      <c r="N26" s="402"/>
      <c r="O26" s="402"/>
      <c r="P26" s="402"/>
      <c r="Q26" s="399">
        <f>SUM(Q27:Q29)</f>
        <v>0</v>
      </c>
    </row>
    <row r="27" spans="2:17" ht="14.4">
      <c r="B27" s="403" t="s">
        <v>878</v>
      </c>
      <c r="C27" s="402"/>
      <c r="D27" s="402"/>
      <c r="E27" s="402"/>
      <c r="F27" s="402"/>
      <c r="G27" s="402"/>
      <c r="H27" s="400">
        <v>1.4</v>
      </c>
      <c r="I27" s="401">
        <f t="shared" si="4"/>
        <v>0</v>
      </c>
      <c r="J27" s="402"/>
      <c r="K27" s="402"/>
      <c r="L27" s="402"/>
      <c r="M27" s="402"/>
      <c r="N27" s="402"/>
      <c r="O27" s="402"/>
      <c r="P27" s="402"/>
      <c r="Q27" s="399">
        <f>SUMPRODUCT($J$5:$P$5,J27:P27)</f>
        <v>0</v>
      </c>
    </row>
    <row r="28" spans="2:17" ht="14.4">
      <c r="B28" s="403" t="s">
        <v>879</v>
      </c>
      <c r="C28" s="402"/>
      <c r="D28" s="402"/>
      <c r="E28" s="402"/>
      <c r="F28" s="402"/>
      <c r="G28" s="402"/>
      <c r="H28" s="400">
        <v>1.4</v>
      </c>
      <c r="I28" s="401">
        <f t="shared" si="4"/>
        <v>0</v>
      </c>
      <c r="J28" s="402"/>
      <c r="K28" s="402"/>
      <c r="L28" s="402"/>
      <c r="M28" s="402"/>
      <c r="N28" s="402"/>
      <c r="O28" s="402"/>
      <c r="P28" s="402"/>
      <c r="Q28" s="399">
        <f t="shared" ref="Q28:Q29" si="12">SUMPRODUCT($J$5:$P$5,J28:P28)</f>
        <v>0</v>
      </c>
    </row>
    <row r="29" spans="2:17" ht="14.4">
      <c r="B29" s="403" t="s">
        <v>880</v>
      </c>
      <c r="C29" s="402"/>
      <c r="D29" s="402"/>
      <c r="E29" s="402"/>
      <c r="F29" s="402"/>
      <c r="G29" s="402"/>
      <c r="H29" s="400">
        <v>1.4</v>
      </c>
      <c r="I29" s="401">
        <f t="shared" si="4"/>
        <v>0</v>
      </c>
      <c r="J29" s="402"/>
      <c r="K29" s="402"/>
      <c r="L29" s="402"/>
      <c r="M29" s="402"/>
      <c r="N29" s="402"/>
      <c r="O29" s="402"/>
      <c r="P29" s="402"/>
      <c r="Q29" s="399">
        <f t="shared" si="12"/>
        <v>0</v>
      </c>
    </row>
    <row r="30" spans="2:17" ht="14.4">
      <c r="B30" s="301" t="s">
        <v>886</v>
      </c>
      <c r="C30" s="402"/>
      <c r="D30" s="402"/>
      <c r="E30" s="402"/>
      <c r="F30" s="402"/>
      <c r="G30" s="402"/>
      <c r="H30" s="400">
        <v>1.4</v>
      </c>
      <c r="I30" s="401">
        <f t="shared" si="4"/>
        <v>0</v>
      </c>
      <c r="J30" s="402"/>
      <c r="K30" s="402"/>
      <c r="L30" s="402"/>
      <c r="M30" s="402"/>
      <c r="N30" s="402"/>
      <c r="O30" s="402"/>
      <c r="P30" s="402"/>
      <c r="Q30" s="399">
        <f>SUM(Q31:Q33)</f>
        <v>0</v>
      </c>
    </row>
    <row r="31" spans="2:17" ht="14.4">
      <c r="B31" s="403" t="s">
        <v>878</v>
      </c>
      <c r="C31" s="402"/>
      <c r="D31" s="402"/>
      <c r="E31" s="402"/>
      <c r="F31" s="402"/>
      <c r="G31" s="402"/>
      <c r="H31" s="400">
        <v>1.4</v>
      </c>
      <c r="I31" s="401">
        <f t="shared" si="4"/>
        <v>0</v>
      </c>
      <c r="J31" s="402"/>
      <c r="K31" s="402"/>
      <c r="L31" s="402"/>
      <c r="M31" s="402"/>
      <c r="N31" s="402"/>
      <c r="O31" s="402"/>
      <c r="P31" s="402"/>
      <c r="Q31" s="399">
        <f>SUMPRODUCT($J$5:$P$5,J31:P31)</f>
        <v>0</v>
      </c>
    </row>
    <row r="32" spans="2:17" ht="14.4">
      <c r="B32" s="403" t="s">
        <v>879</v>
      </c>
      <c r="C32" s="402"/>
      <c r="D32" s="402"/>
      <c r="E32" s="402"/>
      <c r="F32" s="402"/>
      <c r="G32" s="402"/>
      <c r="H32" s="400">
        <v>1.4</v>
      </c>
      <c r="I32" s="401">
        <f t="shared" si="4"/>
        <v>0</v>
      </c>
      <c r="J32" s="402"/>
      <c r="K32" s="402"/>
      <c r="L32" s="402"/>
      <c r="M32" s="402"/>
      <c r="N32" s="402"/>
      <c r="O32" s="402"/>
      <c r="P32" s="402"/>
      <c r="Q32" s="399">
        <f t="shared" ref="Q32:Q33" si="13">SUMPRODUCT($J$5:$P$5,J32:P32)</f>
        <v>0</v>
      </c>
    </row>
    <row r="33" spans="2:17" ht="14.4">
      <c r="B33" s="403" t="s">
        <v>880</v>
      </c>
      <c r="C33" s="402"/>
      <c r="D33" s="402"/>
      <c r="E33" s="402"/>
      <c r="F33" s="402"/>
      <c r="G33" s="402"/>
      <c r="H33" s="400">
        <v>1.4</v>
      </c>
      <c r="I33" s="401">
        <f t="shared" si="4"/>
        <v>0</v>
      </c>
      <c r="J33" s="402"/>
      <c r="K33" s="402"/>
      <c r="L33" s="402"/>
      <c r="M33" s="402"/>
      <c r="N33" s="402"/>
      <c r="O33" s="402"/>
      <c r="P33" s="402"/>
      <c r="Q33" s="399">
        <f t="shared" si="13"/>
        <v>0</v>
      </c>
    </row>
    <row r="34" spans="2:17" ht="14.4">
      <c r="B34" s="404" t="s">
        <v>59</v>
      </c>
      <c r="C34" s="683">
        <f>C6</f>
        <v>267221388.00000003</v>
      </c>
      <c r="D34" s="683">
        <f t="shared" ref="D34:G34" si="14">D6</f>
        <v>0</v>
      </c>
      <c r="E34" s="683">
        <f t="shared" si="14"/>
        <v>0</v>
      </c>
      <c r="F34" s="683">
        <f t="shared" si="14"/>
        <v>0</v>
      </c>
      <c r="G34" s="683">
        <f t="shared" si="14"/>
        <v>2317802.113281535</v>
      </c>
      <c r="H34" s="400">
        <v>1.4</v>
      </c>
      <c r="I34" s="401">
        <f>(F34+G34)*H34</f>
        <v>3244922.958594149</v>
      </c>
      <c r="J34" s="683">
        <f t="shared" ref="J34:Q34" si="15">J6</f>
        <v>0</v>
      </c>
      <c r="K34" s="683">
        <f t="shared" si="15"/>
        <v>0</v>
      </c>
      <c r="L34" s="683">
        <f t="shared" si="15"/>
        <v>0</v>
      </c>
      <c r="M34" s="683">
        <f t="shared" si="15"/>
        <v>210044.95201482822</v>
      </c>
      <c r="N34" s="683">
        <f t="shared" si="15"/>
        <v>0</v>
      </c>
      <c r="O34" s="683">
        <f t="shared" si="15"/>
        <v>3034878.0065793204</v>
      </c>
      <c r="P34" s="683">
        <f t="shared" si="15"/>
        <v>0</v>
      </c>
      <c r="Q34" s="683">
        <f t="shared" si="15"/>
        <v>3139900.4825867345</v>
      </c>
    </row>
    <row r="35" spans="2:17" ht="14.4">
      <c r="B35" s="332"/>
      <c r="C35" s="332"/>
      <c r="D35" s="332"/>
      <c r="E35" s="332"/>
      <c r="F35" s="332"/>
      <c r="G35" s="332"/>
      <c r="H35" s="332"/>
      <c r="I35" s="332"/>
      <c r="J35" s="332"/>
      <c r="K35" s="332"/>
      <c r="L35" s="332"/>
      <c r="M35" s="332"/>
      <c r="N35" s="332"/>
      <c r="O35" s="332"/>
      <c r="P35" s="332"/>
      <c r="Q35" s="332"/>
    </row>
    <row r="36" spans="2:17" ht="14.4">
      <c r="B36" s="332"/>
      <c r="C36" s="332"/>
      <c r="D36" s="332"/>
      <c r="E36" s="332"/>
      <c r="F36" s="332"/>
      <c r="G36" s="332"/>
      <c r="H36" s="332"/>
      <c r="I36" s="332"/>
      <c r="J36" s="332"/>
      <c r="K36" s="332"/>
      <c r="L36" s="332"/>
      <c r="M36" s="332"/>
      <c r="N36" s="332"/>
      <c r="O36" s="332"/>
      <c r="P36" s="332"/>
      <c r="Q36" s="332"/>
    </row>
    <row r="37" spans="2:17" ht="14.4">
      <c r="G37" s="332"/>
      <c r="H37" s="332"/>
      <c r="I37" s="332"/>
      <c r="J37" s="332"/>
      <c r="K37" s="332"/>
      <c r="L37" s="332"/>
      <c r="M37" s="332"/>
      <c r="N37" s="332"/>
      <c r="O37" s="332"/>
      <c r="P37" s="332"/>
      <c r="Q37" s="332"/>
    </row>
    <row r="38" spans="2:17" ht="14.4">
      <c r="G38" s="332"/>
      <c r="H38" s="332"/>
      <c r="I38" s="332"/>
      <c r="J38" s="332"/>
      <c r="K38" s="332"/>
      <c r="L38" s="332"/>
      <c r="M38" s="332"/>
      <c r="N38" s="332"/>
      <c r="O38" s="332"/>
      <c r="P38" s="332"/>
      <c r="Q38" s="332"/>
    </row>
    <row r="39" spans="2:17" ht="14.4">
      <c r="G39" s="332"/>
      <c r="H39" s="332"/>
      <c r="I39" s="332"/>
      <c r="J39" s="332"/>
      <c r="K39" s="332"/>
      <c r="L39" s="332"/>
      <c r="M39" s="332"/>
      <c r="N39" s="332"/>
      <c r="O39" s="332"/>
      <c r="P39" s="332"/>
      <c r="Q39" s="332"/>
    </row>
    <row r="40" spans="2:17" ht="14.4">
      <c r="G40" s="332"/>
      <c r="H40" s="332"/>
      <c r="I40" s="332"/>
      <c r="J40" s="332"/>
      <c r="K40" s="332"/>
      <c r="L40" s="332"/>
      <c r="M40" s="332"/>
      <c r="N40" s="332"/>
      <c r="O40" s="332"/>
      <c r="P40" s="332"/>
      <c r="Q40" s="332"/>
    </row>
    <row r="41" spans="2:17" ht="14.4">
      <c r="G41" s="332"/>
      <c r="H41" s="332"/>
      <c r="I41" s="332"/>
      <c r="J41" s="332"/>
      <c r="K41" s="332"/>
      <c r="L41" s="332"/>
      <c r="M41" s="332"/>
      <c r="N41" s="332"/>
      <c r="O41" s="332"/>
      <c r="P41" s="332"/>
      <c r="Q41" s="332"/>
    </row>
    <row r="42" spans="2:17" ht="14.4">
      <c r="G42" s="332"/>
      <c r="H42" s="332"/>
      <c r="I42" s="332"/>
      <c r="J42" s="332"/>
      <c r="K42" s="332"/>
      <c r="L42" s="332"/>
      <c r="M42" s="332"/>
      <c r="N42" s="332"/>
      <c r="O42" s="332"/>
      <c r="P42" s="332"/>
      <c r="Q42" s="332"/>
    </row>
  </sheetData>
  <conditionalFormatting sqref="I7:I34">
    <cfRule type="expression" dxfId="26" priority="1">
      <formula>(C7*#REF!)&lt;&gt;SUM(#REF!)</formula>
    </cfRule>
  </conditionalFormatting>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37"/>
  <sheetViews>
    <sheetView zoomScale="70" zoomScaleNormal="70" workbookViewId="0">
      <selection activeCell="C6" sqref="C6:C34"/>
    </sheetView>
  </sheetViews>
  <sheetFormatPr defaultRowHeight="13.8"/>
  <cols>
    <col min="1" max="1" width="13.5546875" style="9" customWidth="1"/>
    <col min="2" max="2" width="76.77734375" style="255" customWidth="1"/>
    <col min="3" max="3" width="22.77734375" style="9" customWidth="1"/>
    <col min="4" max="4" width="13.77734375" style="339" customWidth="1"/>
    <col min="5" max="5" width="13.5546875" style="339" customWidth="1"/>
    <col min="6" max="16384" width="8.88671875" style="339"/>
  </cols>
  <sheetData>
    <row r="1" spans="1:3">
      <c r="A1" s="336" t="s">
        <v>869</v>
      </c>
      <c r="B1" s="338" t="str">
        <f>Info!C2</f>
        <v>კრისტალი</v>
      </c>
    </row>
    <row r="2" spans="1:3">
      <c r="A2" s="336" t="s">
        <v>88</v>
      </c>
      <c r="B2" s="337">
        <f>'1. key ratios'!B2</f>
        <v>46112</v>
      </c>
    </row>
    <row r="3" spans="1:3">
      <c r="B3" s="9"/>
    </row>
    <row r="4" spans="1:3">
      <c r="A4" s="9" t="s">
        <v>369</v>
      </c>
      <c r="B4" s="9" t="s">
        <v>338</v>
      </c>
    </row>
    <row r="5" spans="1:3">
      <c r="A5" s="605"/>
      <c r="B5" s="605" t="s">
        <v>339</v>
      </c>
      <c r="C5" s="630"/>
    </row>
    <row r="6" spans="1:3">
      <c r="A6" s="606">
        <v>1</v>
      </c>
      <c r="B6" s="607" t="s">
        <v>339</v>
      </c>
      <c r="C6" s="741">
        <v>678727933.52030408</v>
      </c>
    </row>
    <row r="7" spans="1:3">
      <c r="A7" s="606">
        <v>2</v>
      </c>
      <c r="B7" s="607" t="s">
        <v>340</v>
      </c>
      <c r="C7" s="741">
        <v>-8980329.2199999988</v>
      </c>
    </row>
    <row r="8" spans="1:3">
      <c r="A8" s="609">
        <v>3</v>
      </c>
      <c r="B8" s="616" t="s">
        <v>341</v>
      </c>
      <c r="C8" s="610">
        <v>669747604.30030406</v>
      </c>
    </row>
    <row r="9" spans="1:3">
      <c r="A9" s="632"/>
      <c r="B9" s="632" t="s">
        <v>342</v>
      </c>
      <c r="C9" s="307"/>
    </row>
    <row r="10" spans="1:3">
      <c r="A10" s="606">
        <v>4</v>
      </c>
      <c r="B10" s="611" t="s">
        <v>343</v>
      </c>
      <c r="C10" s="608">
        <v>0</v>
      </c>
    </row>
    <row r="11" spans="1:3">
      <c r="A11" s="606">
        <v>5</v>
      </c>
      <c r="B11" s="612" t="s">
        <v>344</v>
      </c>
      <c r="C11" s="608">
        <v>2317802.113281535</v>
      </c>
    </row>
    <row r="12" spans="1:3">
      <c r="A12" s="606">
        <v>6</v>
      </c>
      <c r="B12" s="613" t="s">
        <v>892</v>
      </c>
      <c r="C12" s="610">
        <v>3244922.958594149</v>
      </c>
    </row>
    <row r="13" spans="1:3" ht="27.6">
      <c r="A13" s="614">
        <v>7</v>
      </c>
      <c r="B13" s="615" t="s">
        <v>345</v>
      </c>
      <c r="C13" s="608">
        <v>0</v>
      </c>
    </row>
    <row r="14" spans="1:3">
      <c r="A14" s="609">
        <v>8</v>
      </c>
      <c r="B14" s="616" t="s">
        <v>346</v>
      </c>
      <c r="C14" s="610">
        <v>3244922.958594149</v>
      </c>
    </row>
    <row r="15" spans="1:3">
      <c r="A15" s="632"/>
      <c r="B15" s="632" t="s">
        <v>347</v>
      </c>
      <c r="C15" s="307"/>
    </row>
    <row r="16" spans="1:3" ht="27.6">
      <c r="A16" s="614">
        <v>9</v>
      </c>
      <c r="B16" s="617" t="s">
        <v>348</v>
      </c>
      <c r="C16" s="608">
        <v>0</v>
      </c>
    </row>
    <row r="17" spans="1:4">
      <c r="A17" s="606">
        <v>10</v>
      </c>
      <c r="B17" s="607" t="s">
        <v>349</v>
      </c>
      <c r="C17" s="608">
        <v>0</v>
      </c>
    </row>
    <row r="18" spans="1:4">
      <c r="A18" s="606">
        <v>11</v>
      </c>
      <c r="B18" s="607" t="s">
        <v>350</v>
      </c>
      <c r="C18" s="608">
        <v>0</v>
      </c>
    </row>
    <row r="19" spans="1:4" ht="27.6">
      <c r="A19" s="614">
        <v>12</v>
      </c>
      <c r="B19" s="617" t="s">
        <v>351</v>
      </c>
      <c r="C19" s="608">
        <v>0</v>
      </c>
    </row>
    <row r="20" spans="1:4">
      <c r="A20" s="614">
        <v>13</v>
      </c>
      <c r="B20" s="617" t="s">
        <v>352</v>
      </c>
      <c r="C20" s="608">
        <v>0</v>
      </c>
    </row>
    <row r="21" spans="1:4">
      <c r="A21" s="614">
        <v>14</v>
      </c>
      <c r="B21" s="607" t="s">
        <v>353</v>
      </c>
      <c r="C21" s="608">
        <v>0</v>
      </c>
    </row>
    <row r="22" spans="1:4">
      <c r="A22" s="609">
        <v>15</v>
      </c>
      <c r="B22" s="616" t="s">
        <v>354</v>
      </c>
      <c r="C22" s="610">
        <v>0</v>
      </c>
    </row>
    <row r="23" spans="1:4">
      <c r="A23" s="632"/>
      <c r="B23" s="632" t="s">
        <v>355</v>
      </c>
      <c r="C23" s="307"/>
    </row>
    <row r="24" spans="1:4">
      <c r="A24" s="606">
        <v>16</v>
      </c>
      <c r="B24" s="607" t="s">
        <v>356</v>
      </c>
      <c r="C24" s="741">
        <v>2432766.9082999914</v>
      </c>
    </row>
    <row r="25" spans="1:4">
      <c r="A25" s="606">
        <v>17</v>
      </c>
      <c r="B25" s="607" t="s">
        <v>357</v>
      </c>
      <c r="C25" s="741">
        <v>-1844633.5485099931</v>
      </c>
    </row>
    <row r="26" spans="1:4">
      <c r="A26" s="609">
        <v>18</v>
      </c>
      <c r="B26" s="616" t="s">
        <v>358</v>
      </c>
      <c r="C26" s="610">
        <v>588133.35978999827</v>
      </c>
      <c r="D26" s="631">
        <f>C26-'5. RWA'!C9</f>
        <v>0</v>
      </c>
    </row>
    <row r="27" spans="1:4">
      <c r="A27" s="632"/>
      <c r="B27" s="632" t="s">
        <v>359</v>
      </c>
      <c r="C27" s="307"/>
    </row>
    <row r="28" spans="1:4">
      <c r="A28" s="606">
        <v>19</v>
      </c>
      <c r="B28" s="607" t="s">
        <v>360</v>
      </c>
      <c r="C28" s="608">
        <v>0</v>
      </c>
    </row>
    <row r="29" spans="1:4">
      <c r="A29" s="606">
        <v>20</v>
      </c>
      <c r="B29" s="607" t="s">
        <v>361</v>
      </c>
      <c r="C29" s="608">
        <v>0</v>
      </c>
    </row>
    <row r="30" spans="1:4">
      <c r="A30" s="632"/>
      <c r="B30" s="632" t="s">
        <v>362</v>
      </c>
      <c r="C30" s="307"/>
    </row>
    <row r="31" spans="1:4">
      <c r="A31" s="609">
        <v>21</v>
      </c>
      <c r="B31" s="616" t="s">
        <v>68</v>
      </c>
      <c r="C31" s="610">
        <v>102655906.2013261</v>
      </c>
    </row>
    <row r="32" spans="1:4">
      <c r="A32" s="609">
        <v>22</v>
      </c>
      <c r="B32" s="616" t="s">
        <v>363</v>
      </c>
      <c r="C32" s="610">
        <v>673580660.61868823</v>
      </c>
      <c r="D32" s="631"/>
    </row>
    <row r="33" spans="1:3">
      <c r="A33" s="632"/>
      <c r="B33" s="632" t="s">
        <v>338</v>
      </c>
      <c r="C33" s="307"/>
    </row>
    <row r="34" spans="1:3">
      <c r="A34" s="609">
        <v>23</v>
      </c>
      <c r="B34" s="616" t="s">
        <v>338</v>
      </c>
      <c r="C34" s="684">
        <f>IFERROR(C31/C32,0)</f>
        <v>0.15240328620337168</v>
      </c>
    </row>
    <row r="35" spans="1:3">
      <c r="A35" s="632"/>
      <c r="B35" s="632" t="s">
        <v>364</v>
      </c>
      <c r="C35" s="307"/>
    </row>
    <row r="36" spans="1:3">
      <c r="A36" s="614" t="s">
        <v>365</v>
      </c>
      <c r="B36" s="617" t="s">
        <v>366</v>
      </c>
      <c r="C36" s="618">
        <v>0</v>
      </c>
    </row>
    <row r="37" spans="1:3" ht="27.6">
      <c r="A37" s="619" t="s">
        <v>367</v>
      </c>
      <c r="B37" s="620" t="s">
        <v>368</v>
      </c>
      <c r="C37" s="618">
        <v>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9"/>
  <sheetViews>
    <sheetView zoomScale="70" zoomScaleNormal="70" workbookViewId="0">
      <selection activeCell="C7" sqref="C7:F7"/>
    </sheetView>
  </sheetViews>
  <sheetFormatPr defaultRowHeight="14.4"/>
  <cols>
    <col min="1" max="1" width="12.6640625" style="158" customWidth="1"/>
    <col min="2" max="2" width="76.77734375" style="303" customWidth="1"/>
    <col min="3" max="6" width="31.88671875" style="158" customWidth="1"/>
  </cols>
  <sheetData>
    <row r="1" spans="1:6">
      <c r="A1" s="336" t="s">
        <v>869</v>
      </c>
      <c r="B1" s="338" t="str">
        <f>Info!C2</f>
        <v>კრისტალი</v>
      </c>
    </row>
    <row r="2" spans="1:6">
      <c r="A2" s="336" t="s">
        <v>88</v>
      </c>
      <c r="B2" s="337">
        <f>'1. key ratios'!B2</f>
        <v>46112</v>
      </c>
    </row>
    <row r="3" spans="1:6">
      <c r="A3" s="11"/>
      <c r="B3" s="158"/>
    </row>
    <row r="4" spans="1:6">
      <c r="A4" s="302" t="s">
        <v>893</v>
      </c>
    </row>
    <row r="5" spans="1:6" ht="72">
      <c r="B5" s="300"/>
      <c r="C5" s="304" t="s">
        <v>887</v>
      </c>
      <c r="D5" s="304" t="s">
        <v>888</v>
      </c>
      <c r="E5" s="304" t="s">
        <v>889</v>
      </c>
      <c r="F5" s="304" t="s">
        <v>890</v>
      </c>
    </row>
    <row r="6" spans="1:6">
      <c r="B6" s="305" t="s">
        <v>891</v>
      </c>
      <c r="C6" s="391">
        <f>IF(C7&gt;0,C7,IF(C8&gt;0,C8,IF(C9&gt;0,C9,0)))</f>
        <v>3180134.6622221675</v>
      </c>
      <c r="D6" s="391">
        <f t="shared" ref="D6:F6" si="0">IF(D7&gt;0,D7,IF(D8&gt;0,D8,IF(D9&gt;0,D9,0)))</f>
        <v>100275.70753347038</v>
      </c>
      <c r="E6" s="391">
        <f t="shared" si="0"/>
        <v>0</v>
      </c>
      <c r="F6" s="391">
        <f t="shared" si="0"/>
        <v>1253446.3441683799</v>
      </c>
    </row>
    <row r="7" spans="1:6">
      <c r="B7" s="306" t="s">
        <v>878</v>
      </c>
      <c r="C7" s="405">
        <v>3180134.6622221675</v>
      </c>
      <c r="D7" s="405">
        <v>100275.70753347038</v>
      </c>
      <c r="E7" s="405">
        <v>0</v>
      </c>
      <c r="F7" s="405">
        <v>1253446.3441683799</v>
      </c>
    </row>
    <row r="8" spans="1:6">
      <c r="B8" s="306" t="s">
        <v>879</v>
      </c>
      <c r="C8" s="405">
        <v>0</v>
      </c>
      <c r="D8" s="405">
        <v>0</v>
      </c>
      <c r="E8" s="405">
        <v>0</v>
      </c>
      <c r="F8" s="405">
        <v>0</v>
      </c>
    </row>
    <row r="9" spans="1:6">
      <c r="B9" s="306" t="s">
        <v>880</v>
      </c>
      <c r="C9" s="405">
        <v>0</v>
      </c>
      <c r="D9" s="405">
        <v>0</v>
      </c>
      <c r="E9" s="405">
        <v>0</v>
      </c>
      <c r="F9" s="405">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tabSelected="1" zoomScale="70" zoomScaleNormal="70" workbookViewId="0">
      <pane xSplit="1" ySplit="5" topLeftCell="B6" activePane="bottomRight" state="frozen"/>
      <selection activeCell="C24" sqref="C24"/>
      <selection pane="topRight" activeCell="C24" sqref="C24"/>
      <selection pane="bottomLeft" activeCell="C24" sqref="C24"/>
      <selection pane="bottomRight" activeCell="A3" sqref="A3"/>
    </sheetView>
  </sheetViews>
  <sheetFormatPr defaultRowHeight="14.4"/>
  <cols>
    <col min="1" max="1" width="13.5546875" style="5" bestFit="1" customWidth="1"/>
    <col min="2" max="2" width="86" style="5" bestFit="1" customWidth="1"/>
    <col min="3" max="3" width="14.77734375" style="5" bestFit="1" customWidth="1"/>
    <col min="4" max="7" width="12.77734375" style="11" customWidth="1"/>
    <col min="8" max="8" width="9" style="697" customWidth="1"/>
    <col min="9" max="9" width="6.77734375" customWidth="1"/>
    <col min="10" max="10" width="16.33203125" customWidth="1"/>
    <col min="11" max="11" width="15.5546875" customWidth="1"/>
  </cols>
  <sheetData>
    <row r="1" spans="1:7">
      <c r="A1" s="336" t="s">
        <v>869</v>
      </c>
      <c r="B1" s="338" t="str">
        <f>Info!C2</f>
        <v>კრისტალი</v>
      </c>
    </row>
    <row r="2" spans="1:7">
      <c r="A2" s="336" t="s">
        <v>88</v>
      </c>
      <c r="B2" s="337">
        <v>46112</v>
      </c>
    </row>
    <row r="3" spans="1:7" ht="15" thickBot="1">
      <c r="A3" s="4"/>
      <c r="D3" s="703"/>
    </row>
    <row r="4" spans="1:7" ht="15" customHeight="1" thickBot="1">
      <c r="A4" s="12" t="s">
        <v>215</v>
      </c>
      <c r="B4" s="17" t="s">
        <v>111</v>
      </c>
      <c r="C4" s="159"/>
      <c r="D4" s="776" t="s">
        <v>845</v>
      </c>
      <c r="E4" s="777"/>
      <c r="F4" s="777"/>
      <c r="G4" s="778"/>
    </row>
    <row r="5" spans="1:7">
      <c r="A5" s="29" t="s">
        <v>25</v>
      </c>
      <c r="B5" s="160"/>
      <c r="C5" s="161" t="str">
        <f>INT((MONTH($B$2))/3)&amp;"Q"&amp;"-"&amp;YEAR($B$2)</f>
        <v>1Q-2026</v>
      </c>
      <c r="D5" s="706" t="str">
        <f>IF(INT(MONTH($B$2))=3, "4"&amp;"Q"&amp;"-"&amp;YEAR($B$2)-1, IF(INT(MONTH($B$2))=6, "1"&amp;"Q"&amp;"-"&amp;YEAR($B$2), IF(INT(MONTH($B$2))=9, "2"&amp;"Q"&amp;"-"&amp;YEAR($B$2),IF(INT(MONTH($B$2))=12, "3"&amp;"Q"&amp;"-"&amp;YEAR($B$2), 0))))</f>
        <v>4Q-2025</v>
      </c>
      <c r="E5" s="161" t="str">
        <f>IF(INT(MONTH($B$2))=3, "3"&amp;"Q"&amp;"-"&amp;YEAR($B$2)-1, IF(INT(MONTH($B$2))=6, "4"&amp;"Q"&amp;"-"&amp;YEAR($B$2)-1, IF(INT(MONTH($B$2))=9, "1"&amp;"Q"&amp;"-"&amp;YEAR($B$2),IF(INT(MONTH($B$2))=12, "2"&amp;"Q"&amp;"-"&amp;YEAR($B$2), 0))))</f>
        <v>3Q-2025</v>
      </c>
      <c r="F5" s="161" t="str">
        <f>IF(INT(MONTH($B$2))=3, "2"&amp;"Q"&amp;"-"&amp;YEAR($B$2)-1, IF(INT(MONTH($B$2))=6, "3"&amp;"Q"&amp;"-"&amp;YEAR($B$2)-1, IF(INT(MONTH($B$2))=9, "4"&amp;"Q"&amp;"-"&amp;YEAR($B$2)-1,IF(INT(MONTH($B$2))=12, "1"&amp;"Q"&amp;"-"&amp;YEAR($B$2), 0))))</f>
        <v>2Q-2025</v>
      </c>
      <c r="G5" s="162" t="str">
        <f>IF(INT(MONTH($B$2))=3, "1"&amp;"Q"&amp;"-"&amp;YEAR($B$2)-1, IF(INT(MONTH($B$2))=6, "2"&amp;"Q"&amp;"-"&amp;YEAR($B$2)-1, IF(INT(MONTH($B$2))=9, "3"&amp;"Q"&amp;"-"&amp;YEAR($B$2)-1,IF(INT(MONTH($B$2))=12, "4"&amp;"Q"&amp;"-"&amp;YEAR($B$2)-1, 0))))</f>
        <v>1Q-2025</v>
      </c>
    </row>
    <row r="6" spans="1:7">
      <c r="A6" s="37"/>
      <c r="B6" s="163" t="s">
        <v>86</v>
      </c>
      <c r="C6" s="164"/>
      <c r="D6" s="707"/>
      <c r="E6" s="164"/>
      <c r="F6" s="164"/>
      <c r="G6" s="165"/>
    </row>
    <row r="7" spans="1:7">
      <c r="A7" s="37"/>
      <c r="B7" s="166" t="s">
        <v>89</v>
      </c>
      <c r="C7" s="164"/>
      <c r="D7" s="707"/>
      <c r="E7" s="164"/>
      <c r="F7" s="164"/>
      <c r="G7" s="165"/>
    </row>
    <row r="8" spans="1:7">
      <c r="A8" s="35">
        <v>1</v>
      </c>
      <c r="B8" s="167" t="s">
        <v>22</v>
      </c>
      <c r="C8" s="168">
        <v>102655906.2013261</v>
      </c>
      <c r="D8" s="168">
        <v>98738856.919999912</v>
      </c>
      <c r="E8" s="168">
        <v>100251680.77656534</v>
      </c>
      <c r="F8" s="168">
        <v>96736791.263049752</v>
      </c>
      <c r="G8" s="169"/>
    </row>
    <row r="9" spans="1:7">
      <c r="A9" s="35">
        <v>2</v>
      </c>
      <c r="B9" s="167" t="s">
        <v>68</v>
      </c>
      <c r="C9" s="168">
        <v>102655906.2013261</v>
      </c>
      <c r="D9" s="168">
        <v>98738856.919999912</v>
      </c>
      <c r="E9" s="168">
        <v>100251680.77656534</v>
      </c>
      <c r="F9" s="168">
        <v>96736791.263049752</v>
      </c>
      <c r="G9" s="169"/>
    </row>
    <row r="10" spans="1:7">
      <c r="A10" s="35">
        <v>3</v>
      </c>
      <c r="B10" s="167" t="s">
        <v>67</v>
      </c>
      <c r="C10" s="168">
        <v>128367858.2013261</v>
      </c>
      <c r="D10" s="168">
        <v>125790732.91999991</v>
      </c>
      <c r="E10" s="168">
        <v>120022040.77656534</v>
      </c>
      <c r="F10" s="168">
        <v>118094603.26304975</v>
      </c>
      <c r="G10" s="169"/>
    </row>
    <row r="11" spans="1:7">
      <c r="A11" s="35">
        <v>4</v>
      </c>
      <c r="B11" s="167" t="s">
        <v>377</v>
      </c>
      <c r="C11" s="168">
        <v>75240601.010841176</v>
      </c>
      <c r="D11" s="168">
        <v>70690455.190567195</v>
      </c>
      <c r="E11" s="168">
        <v>65240220.084318638</v>
      </c>
      <c r="F11" s="168">
        <v>65286875.213134959</v>
      </c>
      <c r="G11" s="169"/>
    </row>
    <row r="12" spans="1:7">
      <c r="A12" s="35">
        <v>5</v>
      </c>
      <c r="B12" s="167" t="s">
        <v>378</v>
      </c>
      <c r="C12" s="168">
        <v>89681218.47652255</v>
      </c>
      <c r="D12" s="168">
        <v>84573981.675026938</v>
      </c>
      <c r="E12" s="168">
        <v>77542813.100212261</v>
      </c>
      <c r="F12" s="168">
        <v>77671112.42268455</v>
      </c>
      <c r="G12" s="169"/>
    </row>
    <row r="13" spans="1:7">
      <c r="A13" s="35">
        <v>6</v>
      </c>
      <c r="B13" s="167" t="s">
        <v>379</v>
      </c>
      <c r="C13" s="168">
        <v>108862304.29431565</v>
      </c>
      <c r="D13" s="168">
        <v>103015098.44755408</v>
      </c>
      <c r="E13" s="168">
        <v>93894360.779564574</v>
      </c>
      <c r="F13" s="168">
        <v>94131174.536642909</v>
      </c>
      <c r="G13" s="169"/>
    </row>
    <row r="14" spans="1:7">
      <c r="A14" s="37"/>
      <c r="B14" s="163" t="s">
        <v>381</v>
      </c>
      <c r="C14" s="164"/>
      <c r="D14" s="707"/>
      <c r="E14" s="164"/>
      <c r="F14" s="164"/>
      <c r="G14" s="165"/>
    </row>
    <row r="15" spans="1:7" ht="27.6">
      <c r="A15" s="35">
        <v>7</v>
      </c>
      <c r="B15" s="167" t="s">
        <v>380</v>
      </c>
      <c r="C15" s="168">
        <v>685038779.20689642</v>
      </c>
      <c r="D15" s="168">
        <v>658611313.30454111</v>
      </c>
      <c r="E15" s="168">
        <v>622916102.07056379</v>
      </c>
      <c r="F15" s="168">
        <v>627049985.2936511</v>
      </c>
      <c r="G15" s="169"/>
    </row>
    <row r="16" spans="1:7">
      <c r="A16" s="37"/>
      <c r="B16" s="163" t="s">
        <v>383</v>
      </c>
      <c r="C16" s="164"/>
      <c r="D16" s="707"/>
      <c r="E16" s="164"/>
      <c r="F16" s="164"/>
      <c r="G16" s="165"/>
    </row>
    <row r="17" spans="1:7">
      <c r="A17" s="35"/>
      <c r="B17" s="166" t="s">
        <v>865</v>
      </c>
      <c r="C17" s="164"/>
      <c r="D17" s="707"/>
      <c r="E17" s="164"/>
      <c r="F17" s="164"/>
      <c r="G17" s="165"/>
    </row>
    <row r="18" spans="1:7">
      <c r="A18" s="35">
        <v>8</v>
      </c>
      <c r="B18" s="167" t="s">
        <v>375</v>
      </c>
      <c r="C18" s="170">
        <v>0.14985415324979992</v>
      </c>
      <c r="D18" s="170">
        <v>0.14991977047066482</v>
      </c>
      <c r="E18" s="170">
        <v>0.16093929895748441</v>
      </c>
      <c r="F18" s="170">
        <v>0.15427285468756904</v>
      </c>
      <c r="G18" s="171"/>
    </row>
    <row r="19" spans="1:7" ht="15" customHeight="1">
      <c r="A19" s="35">
        <v>9</v>
      </c>
      <c r="B19" s="167" t="s">
        <v>374</v>
      </c>
      <c r="C19" s="170">
        <v>0.14985415324979992</v>
      </c>
      <c r="D19" s="170">
        <v>0.14991977047066482</v>
      </c>
      <c r="E19" s="170">
        <v>0.16093929895748441</v>
      </c>
      <c r="F19" s="170">
        <v>0.15427285468756904</v>
      </c>
      <c r="G19" s="171"/>
    </row>
    <row r="20" spans="1:7">
      <c r="A20" s="35">
        <v>10</v>
      </c>
      <c r="B20" s="167" t="s">
        <v>376</v>
      </c>
      <c r="C20" s="170">
        <v>0.18738772475033308</v>
      </c>
      <c r="D20" s="170">
        <v>0.19099388422110877</v>
      </c>
      <c r="E20" s="170">
        <v>0.19267769829293846</v>
      </c>
      <c r="F20" s="170">
        <v>0.18833363532852229</v>
      </c>
      <c r="G20" s="171"/>
    </row>
    <row r="21" spans="1:7">
      <c r="A21" s="35">
        <v>11</v>
      </c>
      <c r="B21" s="167" t="s">
        <v>377</v>
      </c>
      <c r="C21" s="170">
        <v>0.10983407552190107</v>
      </c>
      <c r="D21" s="170">
        <v>0.10733258564278565</v>
      </c>
      <c r="E21" s="170">
        <v>0.10473355860839224</v>
      </c>
      <c r="F21" s="170">
        <v>0.10411749739944694</v>
      </c>
      <c r="G21" s="171"/>
    </row>
    <row r="22" spans="1:7">
      <c r="A22" s="35">
        <v>12</v>
      </c>
      <c r="B22" s="167" t="s">
        <v>378</v>
      </c>
      <c r="C22" s="170">
        <v>0.13091407552190107</v>
      </c>
      <c r="D22" s="170">
        <v>0.12841258564278568</v>
      </c>
      <c r="E22" s="170">
        <v>0.12448355860839222</v>
      </c>
      <c r="F22" s="170">
        <v>0.12386749739944691</v>
      </c>
      <c r="G22" s="171"/>
    </row>
    <row r="23" spans="1:7">
      <c r="A23" s="35">
        <v>13</v>
      </c>
      <c r="B23" s="167" t="s">
        <v>379</v>
      </c>
      <c r="C23" s="170">
        <v>0.15891407552190107</v>
      </c>
      <c r="D23" s="170">
        <v>0.15641258564278568</v>
      </c>
      <c r="E23" s="170">
        <v>0.15073355860839224</v>
      </c>
      <c r="F23" s="170">
        <v>0.15011749739944694</v>
      </c>
      <c r="G23" s="171"/>
    </row>
    <row r="24" spans="1:7">
      <c r="A24" s="37"/>
      <c r="B24" s="163"/>
      <c r="C24" s="172"/>
      <c r="D24" s="708"/>
      <c r="E24" s="172"/>
      <c r="F24" s="172"/>
      <c r="G24" s="173"/>
    </row>
    <row r="25" spans="1:7">
      <c r="A25" s="35"/>
      <c r="B25" s="167"/>
      <c r="C25" s="174"/>
      <c r="D25" s="174"/>
      <c r="E25" s="174"/>
      <c r="F25" s="174"/>
      <c r="G25" s="175"/>
    </row>
    <row r="26" spans="1:7">
      <c r="A26" s="37"/>
      <c r="B26" s="163" t="s">
        <v>7</v>
      </c>
      <c r="C26" s="164"/>
      <c r="D26" s="707"/>
      <c r="E26" s="164"/>
      <c r="F26" s="164"/>
      <c r="G26" s="165"/>
    </row>
    <row r="27" spans="1:7" ht="15" customHeight="1">
      <c r="A27" s="38">
        <v>15</v>
      </c>
      <c r="B27" s="39" t="s">
        <v>8</v>
      </c>
      <c r="C27" s="170">
        <v>0.25764509253999535</v>
      </c>
      <c r="D27" s="170">
        <v>0.26953961785575425</v>
      </c>
      <c r="E27" s="715">
        <v>0.27421771082372526</v>
      </c>
      <c r="F27" s="715">
        <v>0.27492358296656155</v>
      </c>
      <c r="G27" s="139"/>
    </row>
    <row r="28" spans="1:7">
      <c r="A28" s="38">
        <v>16</v>
      </c>
      <c r="B28" s="39" t="s">
        <v>9</v>
      </c>
      <c r="C28" s="170">
        <v>7.7533468461083582E-2</v>
      </c>
      <c r="D28" s="170">
        <v>8.2863397585614909E-2</v>
      </c>
      <c r="E28" s="715">
        <v>8.2021427886706771E-2</v>
      </c>
      <c r="F28" s="715">
        <v>8.176704012558797E-2</v>
      </c>
      <c r="G28" s="139"/>
    </row>
    <row r="29" spans="1:7">
      <c r="A29" s="38">
        <v>17</v>
      </c>
      <c r="B29" s="39" t="s">
        <v>10</v>
      </c>
      <c r="C29" s="170">
        <v>9.5456554346999026E-2</v>
      </c>
      <c r="D29" s="170">
        <v>6.6557565596819107E-2</v>
      </c>
      <c r="E29" s="715">
        <v>8.9231692177385941E-2</v>
      </c>
      <c r="F29" s="715">
        <v>8.6420145461373499E-2</v>
      </c>
      <c r="G29" s="139"/>
    </row>
    <row r="30" spans="1:7">
      <c r="A30" s="38">
        <v>18</v>
      </c>
      <c r="B30" s="39" t="s">
        <v>112</v>
      </c>
      <c r="C30" s="170">
        <v>0.18011162407891174</v>
      </c>
      <c r="D30" s="170">
        <v>0.1866762202701393</v>
      </c>
      <c r="E30" s="715">
        <v>0.19219628293701846</v>
      </c>
      <c r="F30" s="715">
        <v>0.19315654284097356</v>
      </c>
      <c r="G30" s="139"/>
    </row>
    <row r="31" spans="1:7">
      <c r="A31" s="38">
        <v>19</v>
      </c>
      <c r="B31" s="39" t="s">
        <v>11</v>
      </c>
      <c r="C31" s="170">
        <v>2.8952283061614091E-2</v>
      </c>
      <c r="D31" s="170">
        <v>2.1878810887854119E-2</v>
      </c>
      <c r="E31" s="715">
        <v>2.6316406975848389E-2</v>
      </c>
      <c r="F31" s="715">
        <v>2.615035059690806E-2</v>
      </c>
      <c r="G31" s="139"/>
    </row>
    <row r="32" spans="1:7">
      <c r="A32" s="38">
        <v>20</v>
      </c>
      <c r="B32" s="39" t="s">
        <v>12</v>
      </c>
      <c r="C32" s="170">
        <v>0.17900917571130465</v>
      </c>
      <c r="D32" s="170">
        <v>0.13435741459754583</v>
      </c>
      <c r="E32" s="715">
        <v>0.16184216312213845</v>
      </c>
      <c r="F32" s="715">
        <v>0.15987830578063861</v>
      </c>
      <c r="G32" s="139"/>
    </row>
    <row r="33" spans="1:7">
      <c r="A33" s="37"/>
      <c r="B33" s="163" t="s">
        <v>13</v>
      </c>
      <c r="C33" s="164"/>
      <c r="D33" s="707"/>
      <c r="E33" s="164"/>
      <c r="F33" s="164"/>
      <c r="G33" s="165"/>
    </row>
    <row r="34" spans="1:7">
      <c r="A34" s="38">
        <v>21</v>
      </c>
      <c r="B34" s="39" t="s">
        <v>14</v>
      </c>
      <c r="C34" s="678">
        <v>3.7060790340365295E-2</v>
      </c>
      <c r="D34" s="709">
        <v>3.5071112531771344E-2</v>
      </c>
      <c r="E34" s="715">
        <v>3.5347092322783456E-2</v>
      </c>
      <c r="F34" s="715">
        <v>3.2004658617543542E-2</v>
      </c>
      <c r="G34" s="139"/>
    </row>
    <row r="35" spans="1:7" ht="15" customHeight="1">
      <c r="A35" s="38">
        <v>22</v>
      </c>
      <c r="B35" s="39" t="s">
        <v>858</v>
      </c>
      <c r="C35" s="678">
        <v>3.6135488087385023E-2</v>
      </c>
      <c r="D35" s="709">
        <v>3.4945615327307125E-2</v>
      </c>
      <c r="E35" s="715">
        <v>3.1599080278168899E-2</v>
      </c>
      <c r="F35" s="715">
        <v>3.0139403070741047E-2</v>
      </c>
      <c r="G35" s="139"/>
    </row>
    <row r="36" spans="1:7">
      <c r="A36" s="149"/>
      <c r="B36" s="150"/>
      <c r="C36" s="679"/>
      <c r="D36" s="710"/>
      <c r="E36" s="679"/>
      <c r="F36" s="773"/>
      <c r="G36" s="151"/>
    </row>
    <row r="37" spans="1:7" ht="15" customHeight="1">
      <c r="A37" s="38">
        <v>24</v>
      </c>
      <c r="B37" s="39" t="s">
        <v>15</v>
      </c>
      <c r="C37" s="678">
        <v>5.5520459639449987E-2</v>
      </c>
      <c r="D37" s="709">
        <v>4.2534322604971503E-2</v>
      </c>
      <c r="E37" s="715">
        <v>2.754878434744382E-2</v>
      </c>
      <c r="F37" s="715">
        <v>2.3717189952980441E-2</v>
      </c>
      <c r="G37" s="139"/>
    </row>
    <row r="38" spans="1:7">
      <c r="A38" s="38">
        <v>25</v>
      </c>
      <c r="B38" s="39" t="s">
        <v>16</v>
      </c>
      <c r="C38" s="678">
        <v>1.6047759951992639E-2</v>
      </c>
      <c r="D38" s="709">
        <v>0.10581687662796491</v>
      </c>
      <c r="E38" s="715">
        <v>8.302363961961054E-2</v>
      </c>
      <c r="F38" s="715">
        <v>7.6781518470049714E-2</v>
      </c>
      <c r="G38" s="139"/>
    </row>
    <row r="39" spans="1:7" ht="15" customHeight="1">
      <c r="A39" s="37"/>
      <c r="B39" s="163" t="s">
        <v>17</v>
      </c>
      <c r="C39" s="164"/>
      <c r="D39" s="707"/>
      <c r="E39" s="164"/>
      <c r="F39" s="164"/>
      <c r="G39" s="165"/>
    </row>
    <row r="40" spans="1:7" ht="15" customHeight="1">
      <c r="A40" s="38">
        <v>26</v>
      </c>
      <c r="B40" s="39" t="s">
        <v>18</v>
      </c>
      <c r="C40" s="678">
        <v>7.9499869334053355E-2</v>
      </c>
      <c r="D40" s="709">
        <v>8.5541568393079651E-2</v>
      </c>
      <c r="E40" s="716">
        <v>9.8405456681662659E-2</v>
      </c>
      <c r="F40" s="716">
        <v>6.0739257647646629E-2</v>
      </c>
      <c r="G40" s="141"/>
    </row>
    <row r="41" spans="1:7" ht="15" customHeight="1">
      <c r="A41" s="38">
        <v>27</v>
      </c>
      <c r="B41" s="39" t="s">
        <v>19</v>
      </c>
      <c r="C41" s="678">
        <v>0.50094936103793042</v>
      </c>
      <c r="D41" s="709">
        <v>0.55333256725997748</v>
      </c>
      <c r="E41" s="716">
        <v>0.52941713148153147</v>
      </c>
      <c r="F41" s="716">
        <v>0.53246174029731519</v>
      </c>
      <c r="G41" s="141"/>
    </row>
    <row r="42" spans="1:7" ht="15" customHeight="1">
      <c r="A42" s="38">
        <v>28</v>
      </c>
      <c r="B42" s="40" t="s">
        <v>20</v>
      </c>
      <c r="C42" s="678">
        <v>1.6159455388123127E-2</v>
      </c>
      <c r="D42" s="709">
        <v>1.5966549730653177E-2</v>
      </c>
      <c r="E42" s="716">
        <v>1.6130557456147585E-2</v>
      </c>
      <c r="F42" s="716">
        <v>1.313401790489944E-2</v>
      </c>
      <c r="G42" s="141"/>
    </row>
    <row r="43" spans="1:7" ht="15" customHeight="1">
      <c r="A43" s="176"/>
      <c r="B43" s="163" t="s">
        <v>998</v>
      </c>
      <c r="C43" s="164"/>
      <c r="D43" s="707"/>
      <c r="E43" s="164"/>
      <c r="F43" s="164"/>
      <c r="G43" s="165"/>
    </row>
    <row r="44" spans="1:7" ht="15" customHeight="1">
      <c r="A44" s="38">
        <v>29</v>
      </c>
      <c r="B44" s="44" t="s">
        <v>296</v>
      </c>
      <c r="C44" s="740">
        <v>41873753.835327305</v>
      </c>
      <c r="D44" s="774">
        <v>44512330.536497548</v>
      </c>
      <c r="E44" s="140">
        <v>53887411.721883014</v>
      </c>
      <c r="F44" s="140">
        <v>25789729.459150422</v>
      </c>
      <c r="G44" s="141"/>
    </row>
    <row r="45" spans="1:7">
      <c r="A45" s="38">
        <v>30</v>
      </c>
      <c r="B45" s="39" t="s">
        <v>297</v>
      </c>
      <c r="C45" s="739">
        <v>9540043.4197955839</v>
      </c>
      <c r="D45" s="774">
        <v>2623699.1570898746</v>
      </c>
      <c r="E45" s="138">
        <v>9224867.2327429466</v>
      </c>
      <c r="F45" s="138">
        <v>2106808.6659945003</v>
      </c>
      <c r="G45" s="139"/>
    </row>
    <row r="46" spans="1:7">
      <c r="A46" s="41">
        <v>31</v>
      </c>
      <c r="B46" s="42" t="s">
        <v>295</v>
      </c>
      <c r="C46" s="678">
        <v>4.3892623956447929</v>
      </c>
      <c r="D46" s="709">
        <v>16.965485702205751</v>
      </c>
      <c r="E46" s="716">
        <v>5.8415379172736328</v>
      </c>
      <c r="F46" s="716">
        <v>12.241135075726779</v>
      </c>
      <c r="G46" s="141"/>
    </row>
    <row r="47" spans="1:7">
      <c r="A47" s="41"/>
      <c r="B47" s="163" t="s">
        <v>384</v>
      </c>
      <c r="C47" s="164"/>
      <c r="D47" s="707"/>
      <c r="E47" s="164"/>
      <c r="F47" s="164"/>
      <c r="G47" s="165"/>
    </row>
    <row r="48" spans="1:7">
      <c r="A48" s="41">
        <v>32</v>
      </c>
      <c r="B48" s="42" t="s">
        <v>391</v>
      </c>
      <c r="C48" s="701">
        <v>474414389.22410578</v>
      </c>
      <c r="D48" s="717">
        <v>471127508.50472397</v>
      </c>
      <c r="E48" s="738">
        <v>453432266.99706942</v>
      </c>
      <c r="F48" s="775">
        <v>424894296.17742962</v>
      </c>
      <c r="G48" s="43"/>
    </row>
    <row r="49" spans="1:7">
      <c r="A49" s="41">
        <v>33</v>
      </c>
      <c r="B49" s="42" t="s">
        <v>404</v>
      </c>
      <c r="C49" s="701">
        <v>426284118.28427815</v>
      </c>
      <c r="D49" s="717">
        <v>418779543.4253397</v>
      </c>
      <c r="E49" s="738">
        <v>407006349.26996481</v>
      </c>
      <c r="F49" s="775">
        <v>400879896.82444221</v>
      </c>
      <c r="G49" s="43"/>
    </row>
    <row r="50" spans="1:7" ht="15" thickBot="1">
      <c r="A50" s="14">
        <v>34</v>
      </c>
      <c r="B50" s="28" t="s">
        <v>418</v>
      </c>
      <c r="C50" s="680">
        <v>1.1129065542801451</v>
      </c>
      <c r="D50" s="711">
        <v>1.1250012468403126</v>
      </c>
      <c r="E50" s="718">
        <v>1.1140668144621759</v>
      </c>
      <c r="F50" s="718">
        <v>1.0599042257298847</v>
      </c>
      <c r="G50" s="142"/>
    </row>
    <row r="51" spans="1:7">
      <c r="A51" s="6"/>
    </row>
    <row r="52" spans="1:7">
      <c r="B52" s="177"/>
    </row>
    <row r="53" spans="1:7" ht="69">
      <c r="B53" s="90" t="s">
        <v>943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42"/>
  <sheetViews>
    <sheetView zoomScale="70" zoomScaleNormal="70" workbookViewId="0">
      <pane xSplit="2" ySplit="6" topLeftCell="C7" activePane="bottomRight" state="frozen"/>
      <selection activeCell="C24" sqref="C24"/>
      <selection pane="topRight" activeCell="C24" sqref="C24"/>
      <selection pane="bottomLeft" activeCell="C24" sqref="C24"/>
      <selection pane="bottomRight" activeCell="G42" sqref="G42"/>
    </sheetView>
  </sheetViews>
  <sheetFormatPr defaultRowHeight="14.4"/>
  <cols>
    <col min="1" max="1" width="11.6640625" style="9" bestFit="1" customWidth="1"/>
    <col min="2" max="2" width="82.6640625" style="255" customWidth="1"/>
    <col min="3" max="7" width="17.5546875" style="9" customWidth="1"/>
    <col min="8" max="8" width="8.88671875" style="332"/>
    <col min="9" max="16384" width="8.88671875" style="318"/>
  </cols>
  <sheetData>
    <row r="1" spans="1:7">
      <c r="A1" s="336" t="s">
        <v>869</v>
      </c>
      <c r="B1" s="338" t="str">
        <f>Info!C2</f>
        <v>კრისტალი</v>
      </c>
    </row>
    <row r="2" spans="1:7">
      <c r="A2" s="336" t="s">
        <v>88</v>
      </c>
      <c r="B2" s="337">
        <f>'1. key ratios'!B2</f>
        <v>46112</v>
      </c>
    </row>
    <row r="3" spans="1:7">
      <c r="B3" s="420"/>
    </row>
    <row r="4" spans="1:7" ht="15" thickBot="1">
      <c r="A4" s="9" t="s">
        <v>419</v>
      </c>
      <c r="B4" s="421" t="s">
        <v>384</v>
      </c>
    </row>
    <row r="5" spans="1:7">
      <c r="A5" s="422"/>
      <c r="B5" s="423"/>
      <c r="C5" s="828" t="s">
        <v>385</v>
      </c>
      <c r="D5" s="828"/>
      <c r="E5" s="828"/>
      <c r="F5" s="828"/>
      <c r="G5" s="829" t="s">
        <v>386</v>
      </c>
    </row>
    <row r="6" spans="1:7">
      <c r="A6" s="424"/>
      <c r="B6" s="425"/>
      <c r="C6" s="426" t="s">
        <v>387</v>
      </c>
      <c r="D6" s="426" t="s">
        <v>388</v>
      </c>
      <c r="E6" s="426" t="s">
        <v>389</v>
      </c>
      <c r="F6" s="426" t="s">
        <v>390</v>
      </c>
      <c r="G6" s="830"/>
    </row>
    <row r="7" spans="1:7">
      <c r="A7" s="427"/>
      <c r="B7" s="428" t="s">
        <v>391</v>
      </c>
      <c r="C7" s="429"/>
      <c r="D7" s="429"/>
      <c r="E7" s="429"/>
      <c r="F7" s="429"/>
      <c r="G7" s="308"/>
    </row>
    <row r="8" spans="1:7">
      <c r="A8" s="430">
        <v>1</v>
      </c>
      <c r="B8" s="179" t="s">
        <v>392</v>
      </c>
      <c r="C8" s="310">
        <f>SUM(C9:C10)</f>
        <v>102655906.2013261</v>
      </c>
      <c r="D8" s="310">
        <f>SUM(D9:D10)</f>
        <v>0</v>
      </c>
      <c r="E8" s="310">
        <f>SUM(E9:E10)</f>
        <v>0</v>
      </c>
      <c r="F8" s="310">
        <f>SUM(F9:F10)</f>
        <v>269425550.34000003</v>
      </c>
      <c r="G8" s="767">
        <f>SUM(G9:G10)</f>
        <v>372081456.54132611</v>
      </c>
    </row>
    <row r="9" spans="1:7">
      <c r="A9" s="430">
        <v>2</v>
      </c>
      <c r="B9" s="431" t="s">
        <v>67</v>
      </c>
      <c r="C9" s="310">
        <v>102655906.2013261</v>
      </c>
      <c r="D9" s="310">
        <v>0</v>
      </c>
      <c r="E9" s="310">
        <v>0</v>
      </c>
      <c r="F9" s="310">
        <v>25711952</v>
      </c>
      <c r="G9" s="767">
        <f>SUM(C9:F9)*100%</f>
        <v>128367858.2013261</v>
      </c>
    </row>
    <row r="10" spans="1:7">
      <c r="A10" s="430">
        <v>3</v>
      </c>
      <c r="B10" s="431" t="s">
        <v>393</v>
      </c>
      <c r="C10" s="768"/>
      <c r="D10" s="768"/>
      <c r="E10" s="768"/>
      <c r="F10" s="310">
        <v>243713598.34</v>
      </c>
      <c r="G10" s="767">
        <f>SUM(C10:F10)*100%</f>
        <v>243713598.34</v>
      </c>
    </row>
    <row r="11" spans="1:7" ht="27.6">
      <c r="A11" s="430">
        <v>4</v>
      </c>
      <c r="B11" s="179" t="s">
        <v>394</v>
      </c>
      <c r="C11" s="310">
        <f t="shared" ref="C11:F11" si="0">SUM(C12:C13)</f>
        <v>10766363.533498906</v>
      </c>
      <c r="D11" s="310">
        <f t="shared" si="0"/>
        <v>29285971.750300929</v>
      </c>
      <c r="E11" s="310">
        <f t="shared" si="0"/>
        <v>24621795.041699998</v>
      </c>
      <c r="F11" s="310">
        <f t="shared" si="0"/>
        <v>4005299.3953999998</v>
      </c>
      <c r="G11" s="767">
        <f>SUM(G12:G13)</f>
        <v>64904843.105579682</v>
      </c>
    </row>
    <row r="12" spans="1:7">
      <c r="A12" s="430">
        <v>5</v>
      </c>
      <c r="B12" s="431" t="s">
        <v>395</v>
      </c>
      <c r="C12" s="310">
        <v>10718137.097498905</v>
      </c>
      <c r="D12" s="310">
        <v>29005324.776800577</v>
      </c>
      <c r="E12" s="310">
        <v>24343745.941699997</v>
      </c>
      <c r="F12" s="310">
        <v>3855299.3953999998</v>
      </c>
      <c r="G12" s="767">
        <f>SUM(C12:F12)*95%</f>
        <v>64526381.850829504</v>
      </c>
    </row>
    <row r="13" spans="1:7">
      <c r="A13" s="430">
        <v>6</v>
      </c>
      <c r="B13" s="431" t="s">
        <v>396</v>
      </c>
      <c r="C13" s="310">
        <v>48226.435999999987</v>
      </c>
      <c r="D13" s="310">
        <v>280646.97350035125</v>
      </c>
      <c r="E13" s="310">
        <v>278049.09999999998</v>
      </c>
      <c r="F13" s="310">
        <v>150000</v>
      </c>
      <c r="G13" s="767">
        <f>SUM(C13:F13)*50%</f>
        <v>378461.25475017563</v>
      </c>
    </row>
    <row r="14" spans="1:7">
      <c r="A14" s="430">
        <v>7</v>
      </c>
      <c r="B14" s="179" t="s">
        <v>397</v>
      </c>
      <c r="C14" s="310">
        <f>SUM(C15:C16)</f>
        <v>201510.22339999999</v>
      </c>
      <c r="D14" s="310">
        <f>SUM(D15:D16)</f>
        <v>128928115.031</v>
      </c>
      <c r="E14" s="310">
        <f>SUM(E15:E16)</f>
        <v>70667431.289999992</v>
      </c>
      <c r="F14" s="310">
        <f>SUM(F15:F16)</f>
        <v>60000</v>
      </c>
      <c r="G14" s="310">
        <f>SUM(G15:G16)</f>
        <v>37428089.577199996</v>
      </c>
    </row>
    <row r="15" spans="1:7" ht="55.2">
      <c r="A15" s="430">
        <v>8</v>
      </c>
      <c r="B15" s="431" t="s">
        <v>398</v>
      </c>
      <c r="C15" s="310">
        <v>0</v>
      </c>
      <c r="D15" s="310">
        <v>4128747.8643999998</v>
      </c>
      <c r="E15" s="310">
        <v>4686975</v>
      </c>
      <c r="F15" s="310">
        <v>60000</v>
      </c>
      <c r="G15" s="767">
        <f>SUM(C15:F15)*50%</f>
        <v>4437861.4321999997</v>
      </c>
    </row>
    <row r="16" spans="1:7" ht="27.6">
      <c r="A16" s="430">
        <v>9</v>
      </c>
      <c r="B16" s="431" t="s">
        <v>399</v>
      </c>
      <c r="C16" s="310">
        <v>201510.22339999999</v>
      </c>
      <c r="D16" s="310">
        <v>124799367.1666</v>
      </c>
      <c r="E16" s="310">
        <v>65980456.289999999</v>
      </c>
      <c r="F16" s="310">
        <v>0</v>
      </c>
      <c r="G16" s="767">
        <f>E16*50%</f>
        <v>32990228.145</v>
      </c>
    </row>
    <row r="17" spans="1:7">
      <c r="A17" s="430">
        <v>10</v>
      </c>
      <c r="B17" s="179" t="s">
        <v>400</v>
      </c>
      <c r="C17" s="310">
        <v>0</v>
      </c>
      <c r="D17" s="310">
        <v>0</v>
      </c>
      <c r="E17" s="310">
        <v>0</v>
      </c>
      <c r="F17" s="310">
        <v>0</v>
      </c>
      <c r="G17" s="767">
        <f>SUM(C17:F17)*0%</f>
        <v>0</v>
      </c>
    </row>
    <row r="18" spans="1:7">
      <c r="A18" s="430">
        <v>11</v>
      </c>
      <c r="B18" s="179" t="s">
        <v>71</v>
      </c>
      <c r="C18" s="310">
        <f>SUM(C19:C20)</f>
        <v>0</v>
      </c>
      <c r="D18" s="310">
        <f t="shared" ref="D18:F18" si="1">SUM(D19:D20)</f>
        <v>19573925.03683085</v>
      </c>
      <c r="E18" s="310">
        <f t="shared" si="1"/>
        <v>7071764.0882722754</v>
      </c>
      <c r="F18" s="310">
        <f t="shared" si="1"/>
        <v>2483971.9553968743</v>
      </c>
      <c r="G18" s="767">
        <f>SUM(G19:G20)</f>
        <v>0</v>
      </c>
    </row>
    <row r="19" spans="1:7">
      <c r="A19" s="430">
        <v>12</v>
      </c>
      <c r="B19" s="431" t="s">
        <v>401</v>
      </c>
      <c r="C19" s="768"/>
      <c r="D19" s="310">
        <v>6373596.2956470959</v>
      </c>
      <c r="E19" s="310">
        <v>1426794.2951380298</v>
      </c>
      <c r="F19" s="310">
        <v>2369553.0692148744</v>
      </c>
      <c r="G19" s="767">
        <f>SUM(C19:F19)*0%</f>
        <v>0</v>
      </c>
    </row>
    <row r="20" spans="1:7" ht="27.6">
      <c r="A20" s="430">
        <v>13</v>
      </c>
      <c r="B20" s="431" t="s">
        <v>402</v>
      </c>
      <c r="C20" s="310">
        <v>0</v>
      </c>
      <c r="D20" s="310">
        <v>13200328.741183756</v>
      </c>
      <c r="E20" s="310">
        <v>5644969.793134246</v>
      </c>
      <c r="F20" s="310">
        <v>114418.886182</v>
      </c>
      <c r="G20" s="767">
        <f>SUM(C20:F20)*0%</f>
        <v>0</v>
      </c>
    </row>
    <row r="21" spans="1:7">
      <c r="A21" s="432">
        <v>14</v>
      </c>
      <c r="B21" s="433" t="s">
        <v>403</v>
      </c>
      <c r="C21" s="768"/>
      <c r="D21" s="768"/>
      <c r="E21" s="768"/>
      <c r="F21" s="768"/>
      <c r="G21" s="769">
        <f>SUM(G8,G11,G14,G17,G18)</f>
        <v>474414389.22410578</v>
      </c>
    </row>
    <row r="22" spans="1:7">
      <c r="A22" s="434"/>
      <c r="B22" s="435" t="s">
        <v>404</v>
      </c>
      <c r="C22" s="770"/>
      <c r="D22" s="770"/>
      <c r="E22" s="770"/>
      <c r="F22" s="770"/>
      <c r="G22" s="771"/>
    </row>
    <row r="23" spans="1:7">
      <c r="A23" s="430">
        <v>15</v>
      </c>
      <c r="B23" s="179" t="s">
        <v>278</v>
      </c>
      <c r="C23" s="310">
        <v>51215432.35119997</v>
      </c>
      <c r="D23" s="310">
        <v>2350000</v>
      </c>
      <c r="E23" s="310">
        <v>0</v>
      </c>
      <c r="F23" s="310">
        <v>0</v>
      </c>
      <c r="G23" s="767">
        <v>225820.09031500004</v>
      </c>
    </row>
    <row r="24" spans="1:7">
      <c r="A24" s="430">
        <v>16</v>
      </c>
      <c r="B24" s="179" t="s">
        <v>405</v>
      </c>
      <c r="C24" s="310">
        <f>SUM(C25:C27,C29,C31)</f>
        <v>0</v>
      </c>
      <c r="D24" s="310">
        <f t="shared" ref="D24:F24" si="2">SUM(D25:D27,D29,D31)</f>
        <v>163443629.60755917</v>
      </c>
      <c r="E24" s="310">
        <f t="shared" si="2"/>
        <v>117826131.8953312</v>
      </c>
      <c r="F24" s="310">
        <f t="shared" si="2"/>
        <v>256774500.01461393</v>
      </c>
      <c r="G24" s="767">
        <f>SUM(G25:G27,G29,G31)</f>
        <v>358921463.36386704</v>
      </c>
    </row>
    <row r="25" spans="1:7" ht="27.6">
      <c r="A25" s="430">
        <v>17</v>
      </c>
      <c r="B25" s="431" t="s">
        <v>406</v>
      </c>
      <c r="C25" s="310">
        <v>0</v>
      </c>
      <c r="D25" s="310">
        <v>0</v>
      </c>
      <c r="E25" s="310">
        <v>0</v>
      </c>
      <c r="F25" s="310">
        <v>0</v>
      </c>
      <c r="G25" s="767">
        <v>0</v>
      </c>
    </row>
    <row r="26" spans="1:7" ht="27.6">
      <c r="A26" s="430">
        <v>18</v>
      </c>
      <c r="B26" s="431" t="s">
        <v>407</v>
      </c>
      <c r="C26" s="310">
        <v>0</v>
      </c>
      <c r="D26" s="310">
        <v>0</v>
      </c>
      <c r="E26" s="310">
        <v>188384</v>
      </c>
      <c r="F26" s="310">
        <v>188384</v>
      </c>
      <c r="G26" s="767">
        <v>282576</v>
      </c>
    </row>
    <row r="27" spans="1:7">
      <c r="A27" s="430">
        <v>19</v>
      </c>
      <c r="B27" s="431" t="s">
        <v>408</v>
      </c>
      <c r="C27" s="310">
        <v>0</v>
      </c>
      <c r="D27" s="310">
        <v>163443629.60755917</v>
      </c>
      <c r="E27" s="310">
        <v>117637747.8953312</v>
      </c>
      <c r="F27" s="310">
        <v>256586116.01461393</v>
      </c>
      <c r="G27" s="767">
        <v>358638887.36386704</v>
      </c>
    </row>
    <row r="28" spans="1:7">
      <c r="A28" s="430">
        <v>20</v>
      </c>
      <c r="B28" s="431" t="s">
        <v>409</v>
      </c>
      <c r="C28" s="310">
        <v>0</v>
      </c>
      <c r="D28" s="310">
        <v>0</v>
      </c>
      <c r="E28" s="310">
        <v>0</v>
      </c>
      <c r="F28" s="310">
        <v>0</v>
      </c>
      <c r="G28" s="767">
        <v>0</v>
      </c>
    </row>
    <row r="29" spans="1:7">
      <c r="A29" s="430">
        <v>21</v>
      </c>
      <c r="B29" s="431" t="s">
        <v>410</v>
      </c>
      <c r="C29" s="310">
        <v>0</v>
      </c>
      <c r="D29" s="310">
        <v>0</v>
      </c>
      <c r="E29" s="310">
        <v>0</v>
      </c>
      <c r="F29" s="310">
        <v>0</v>
      </c>
      <c r="G29" s="767">
        <v>0</v>
      </c>
    </row>
    <row r="30" spans="1:7">
      <c r="A30" s="430">
        <v>22</v>
      </c>
      <c r="B30" s="431" t="s">
        <v>409</v>
      </c>
      <c r="C30" s="310">
        <v>0</v>
      </c>
      <c r="D30" s="310">
        <v>0</v>
      </c>
      <c r="E30" s="310">
        <v>0</v>
      </c>
      <c r="F30" s="310">
        <v>0</v>
      </c>
      <c r="G30" s="767">
        <v>0</v>
      </c>
    </row>
    <row r="31" spans="1:7" ht="27.6">
      <c r="A31" s="430">
        <v>23</v>
      </c>
      <c r="B31" s="431" t="s">
        <v>411</v>
      </c>
      <c r="C31" s="310">
        <v>0</v>
      </c>
      <c r="D31" s="310">
        <v>0</v>
      </c>
      <c r="E31" s="310">
        <v>0</v>
      </c>
      <c r="F31" s="310">
        <v>0</v>
      </c>
      <c r="G31" s="767">
        <v>0</v>
      </c>
    </row>
    <row r="32" spans="1:7">
      <c r="A32" s="430">
        <v>24</v>
      </c>
      <c r="B32" s="179" t="s">
        <v>412</v>
      </c>
      <c r="C32" s="310">
        <v>0</v>
      </c>
      <c r="D32" s="310">
        <v>0</v>
      </c>
      <c r="E32" s="310">
        <v>0</v>
      </c>
      <c r="F32" s="310">
        <v>0</v>
      </c>
      <c r="G32" s="767">
        <v>0</v>
      </c>
    </row>
    <row r="33" spans="1:7">
      <c r="A33" s="430">
        <v>25</v>
      </c>
      <c r="B33" s="179" t="s">
        <v>79</v>
      </c>
      <c r="C33" s="310">
        <f>SUM(C34:C35)</f>
        <v>27795878.870000012</v>
      </c>
      <c r="D33" s="310">
        <f>SUM(D34:D35)</f>
        <v>24833334.29010988</v>
      </c>
      <c r="E33" s="310">
        <f>SUM(E34:E35)</f>
        <v>8247638.4703354398</v>
      </c>
      <c r="F33" s="310">
        <f>SUM(F34:F35)</f>
        <v>17261058.669958465</v>
      </c>
      <c r="G33" s="767">
        <f>SUM(G34:G35)</f>
        <v>67015196.484681129</v>
      </c>
    </row>
    <row r="34" spans="1:7">
      <c r="A34" s="430">
        <v>26</v>
      </c>
      <c r="B34" s="431" t="s">
        <v>413</v>
      </c>
      <c r="C34" s="772"/>
      <c r="D34" s="310">
        <v>0</v>
      </c>
      <c r="E34" s="310">
        <v>0</v>
      </c>
      <c r="F34" s="310">
        <v>0</v>
      </c>
      <c r="G34" s="767">
        <v>0</v>
      </c>
    </row>
    <row r="35" spans="1:7">
      <c r="A35" s="430">
        <v>27</v>
      </c>
      <c r="B35" s="431" t="s">
        <v>414</v>
      </c>
      <c r="C35" s="310">
        <v>27795878.870000012</v>
      </c>
      <c r="D35" s="310">
        <v>24833334.29010988</v>
      </c>
      <c r="E35" s="310">
        <v>8247638.4703354398</v>
      </c>
      <c r="F35" s="310">
        <v>17261058.669958465</v>
      </c>
      <c r="G35" s="767">
        <v>67015196.484681129</v>
      </c>
    </row>
    <row r="36" spans="1:7">
      <c r="A36" s="430">
        <v>28</v>
      </c>
      <c r="B36" s="179" t="s">
        <v>415</v>
      </c>
      <c r="C36" s="310">
        <v>0</v>
      </c>
      <c r="D36" s="310">
        <v>2104430.0512000001</v>
      </c>
      <c r="E36" s="310">
        <v>14768.210000000001</v>
      </c>
      <c r="F36" s="310">
        <v>313568.64709999994</v>
      </c>
      <c r="G36" s="767">
        <v>121638.34541500002</v>
      </c>
    </row>
    <row r="37" spans="1:7">
      <c r="A37" s="432">
        <v>29</v>
      </c>
      <c r="B37" s="433" t="s">
        <v>416</v>
      </c>
      <c r="C37" s="768"/>
      <c r="D37" s="768"/>
      <c r="E37" s="768"/>
      <c r="F37" s="768"/>
      <c r="G37" s="769">
        <f>SUM(G23:G24,G32:G33,G36)</f>
        <v>426284118.28427815</v>
      </c>
    </row>
    <row r="38" spans="1:7">
      <c r="A38" s="427"/>
      <c r="B38" s="436"/>
      <c r="C38" s="281"/>
      <c r="D38" s="281"/>
      <c r="E38" s="281"/>
      <c r="F38" s="281"/>
      <c r="G38" s="437"/>
    </row>
    <row r="39" spans="1:7" ht="15" thickBot="1">
      <c r="A39" s="438">
        <v>30</v>
      </c>
      <c r="B39" s="181" t="s">
        <v>384</v>
      </c>
      <c r="C39" s="439"/>
      <c r="D39" s="440"/>
      <c r="E39" s="440"/>
      <c r="F39" s="441"/>
      <c r="G39" s="442">
        <f>IFERROR(G21/G37,0)</f>
        <v>1.1129065542801451</v>
      </c>
    </row>
    <row r="42" spans="1:7" ht="41.4">
      <c r="B42" s="255" t="s">
        <v>417</v>
      </c>
    </row>
  </sheetData>
  <mergeCells count="2">
    <mergeCell ref="C5:F5"/>
    <mergeCell ref="G5:G6"/>
  </mergeCells>
  <pageMargins left="0.7" right="0.7" top="0.75" bottom="0.75" header="0.3" footer="0.3"/>
  <ignoredErrors>
    <ignoredError sqref="C18:F18" formulaRange="1"/>
    <ignoredError sqref="G15 G17:G18" formula="1" formulaRange="1"/>
    <ignoredError sqref="G19:G21"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6"/>
  <sheetViews>
    <sheetView showGridLines="0" zoomScale="70" zoomScaleNormal="70" workbookViewId="0">
      <pane xSplit="2" ySplit="7" topLeftCell="C8" activePane="bottomRight" state="frozen"/>
      <selection activeCell="C24" sqref="C24"/>
      <selection pane="topRight" activeCell="C24" sqref="C24"/>
      <selection pane="bottomLeft" activeCell="C24" sqref="C24"/>
      <selection pane="bottomRight" activeCell="D8" sqref="D8"/>
    </sheetView>
  </sheetViews>
  <sheetFormatPr defaultColWidth="9.21875" defaultRowHeight="13.8"/>
  <cols>
    <col min="1" max="1" width="11.77734375" style="9" bestFit="1" customWidth="1"/>
    <col min="2" max="2" width="105.21875" style="9" bestFit="1" customWidth="1"/>
    <col min="3" max="3" width="16.21875" style="9" customWidth="1"/>
    <col min="4" max="6" width="15" style="9" customWidth="1"/>
    <col min="7" max="7" width="18.77734375" style="9" customWidth="1"/>
    <col min="8" max="8" width="15" style="9" customWidth="1"/>
    <col min="9" max="9" width="14.5546875" style="692" customWidth="1"/>
    <col min="10" max="16384" width="9.21875" style="9"/>
  </cols>
  <sheetData>
    <row r="1" spans="1:8">
      <c r="A1" s="336" t="s">
        <v>869</v>
      </c>
      <c r="B1" s="338" t="str">
        <f>Info!C2</f>
        <v>კრისტალი</v>
      </c>
    </row>
    <row r="2" spans="1:8">
      <c r="A2" s="336" t="s">
        <v>88</v>
      </c>
      <c r="B2" s="337">
        <f>'1. key ratios'!B2</f>
        <v>46112</v>
      </c>
    </row>
    <row r="3" spans="1:8">
      <c r="A3" s="532" t="s">
        <v>424</v>
      </c>
      <c r="G3" s="9" t="s">
        <v>1003</v>
      </c>
    </row>
    <row r="5" spans="1:8">
      <c r="A5" s="831" t="s">
        <v>425</v>
      </c>
      <c r="B5" s="832"/>
      <c r="C5" s="837" t="s">
        <v>426</v>
      </c>
      <c r="D5" s="838"/>
      <c r="E5" s="838"/>
      <c r="F5" s="838"/>
      <c r="G5" s="838"/>
      <c r="H5" s="839"/>
    </row>
    <row r="6" spans="1:8">
      <c r="A6" s="833"/>
      <c r="B6" s="834"/>
      <c r="C6" s="840"/>
      <c r="D6" s="841"/>
      <c r="E6" s="841"/>
      <c r="F6" s="841"/>
      <c r="G6" s="841"/>
      <c r="H6" s="842"/>
    </row>
    <row r="7" spans="1:8" ht="27.6">
      <c r="A7" s="835"/>
      <c r="B7" s="836"/>
      <c r="C7" s="464" t="s">
        <v>427</v>
      </c>
      <c r="D7" s="464" t="s">
        <v>428</v>
      </c>
      <c r="E7" s="464" t="s">
        <v>429</v>
      </c>
      <c r="F7" s="464" t="s">
        <v>430</v>
      </c>
      <c r="G7" s="464" t="s">
        <v>606</v>
      </c>
      <c r="H7" s="464" t="s">
        <v>59</v>
      </c>
    </row>
    <row r="8" spans="1:8">
      <c r="A8" s="465">
        <v>1</v>
      </c>
      <c r="B8" s="466" t="s">
        <v>107</v>
      </c>
      <c r="C8" s="341">
        <v>0</v>
      </c>
      <c r="D8" s="341">
        <v>27005099.023800001</v>
      </c>
      <c r="E8" s="341">
        <v>0</v>
      </c>
      <c r="F8" s="341">
        <v>0</v>
      </c>
      <c r="G8" s="341">
        <v>0</v>
      </c>
      <c r="H8" s="672">
        <f t="shared" ref="H8:H20" si="0">SUM(C8:G8)</f>
        <v>27005099.023800001</v>
      </c>
    </row>
    <row r="9" spans="1:8">
      <c r="A9" s="465">
        <v>2</v>
      </c>
      <c r="B9" s="466" t="s">
        <v>108</v>
      </c>
      <c r="C9" s="341">
        <v>0</v>
      </c>
      <c r="D9" s="341">
        <v>0</v>
      </c>
      <c r="E9" s="341">
        <v>0</v>
      </c>
      <c r="F9" s="341">
        <v>0</v>
      </c>
      <c r="G9" s="341">
        <v>0</v>
      </c>
      <c r="H9" s="672">
        <f t="shared" si="0"/>
        <v>0</v>
      </c>
    </row>
    <row r="10" spans="1:8">
      <c r="A10" s="465">
        <v>3</v>
      </c>
      <c r="B10" s="466" t="s">
        <v>109</v>
      </c>
      <c r="C10" s="341">
        <v>0</v>
      </c>
      <c r="D10" s="341">
        <v>0</v>
      </c>
      <c r="E10" s="341">
        <v>0</v>
      </c>
      <c r="F10" s="341">
        <v>0</v>
      </c>
      <c r="G10" s="341">
        <v>0</v>
      </c>
      <c r="H10" s="672">
        <f t="shared" si="0"/>
        <v>0</v>
      </c>
    </row>
    <row r="11" spans="1:8">
      <c r="A11" s="465">
        <v>4</v>
      </c>
      <c r="B11" s="466" t="s">
        <v>110</v>
      </c>
      <c r="C11" s="341">
        <v>0</v>
      </c>
      <c r="D11" s="341">
        <v>0</v>
      </c>
      <c r="E11" s="341">
        <v>0</v>
      </c>
      <c r="F11" s="341">
        <v>0</v>
      </c>
      <c r="G11" s="341">
        <v>0</v>
      </c>
      <c r="H11" s="672">
        <f t="shared" si="0"/>
        <v>0</v>
      </c>
    </row>
    <row r="12" spans="1:8">
      <c r="A12" s="465">
        <v>5</v>
      </c>
      <c r="B12" s="466" t="s">
        <v>853</v>
      </c>
      <c r="C12" s="341">
        <v>0</v>
      </c>
      <c r="D12" s="341">
        <v>0</v>
      </c>
      <c r="E12" s="341">
        <v>0</v>
      </c>
      <c r="F12" s="341">
        <v>0</v>
      </c>
      <c r="G12" s="341">
        <v>0</v>
      </c>
      <c r="H12" s="672">
        <f t="shared" si="0"/>
        <v>0</v>
      </c>
    </row>
    <row r="13" spans="1:8">
      <c r="A13" s="465">
        <v>6</v>
      </c>
      <c r="B13" s="466" t="s">
        <v>913</v>
      </c>
      <c r="C13" s="341">
        <v>0</v>
      </c>
      <c r="D13" s="341">
        <v>4721367.4562999997</v>
      </c>
      <c r="E13" s="341">
        <v>188384</v>
      </c>
      <c r="F13" s="341">
        <v>0</v>
      </c>
      <c r="G13" s="341">
        <v>0</v>
      </c>
      <c r="H13" s="672">
        <f t="shared" si="0"/>
        <v>4909751.4562999997</v>
      </c>
    </row>
    <row r="14" spans="1:8">
      <c r="A14" s="465">
        <v>7</v>
      </c>
      <c r="B14" s="466" t="s">
        <v>64</v>
      </c>
      <c r="C14" s="341">
        <v>0</v>
      </c>
      <c r="D14" s="687">
        <v>0</v>
      </c>
      <c r="E14" s="687">
        <v>0</v>
      </c>
      <c r="F14" s="687">
        <v>0</v>
      </c>
      <c r="G14" s="341">
        <v>0</v>
      </c>
      <c r="H14" s="672">
        <f t="shared" si="0"/>
        <v>0</v>
      </c>
    </row>
    <row r="15" spans="1:8">
      <c r="A15" s="465">
        <v>8</v>
      </c>
      <c r="B15" s="467" t="s">
        <v>65</v>
      </c>
      <c r="C15" s="341">
        <v>0</v>
      </c>
      <c r="D15" s="687">
        <v>301765203.402614</v>
      </c>
      <c r="E15" s="687">
        <v>265258452.28853649</v>
      </c>
      <c r="F15" s="687">
        <v>9746973.3191603087</v>
      </c>
      <c r="G15" s="341">
        <v>0</v>
      </c>
      <c r="H15" s="672">
        <f t="shared" si="0"/>
        <v>576770629.01031077</v>
      </c>
    </row>
    <row r="16" spans="1:8">
      <c r="A16" s="465">
        <v>9</v>
      </c>
      <c r="B16" s="466" t="s">
        <v>854</v>
      </c>
      <c r="C16" s="341">
        <v>0</v>
      </c>
      <c r="D16" s="687">
        <v>0</v>
      </c>
      <c r="E16" s="687">
        <v>0</v>
      </c>
      <c r="F16" s="687">
        <v>0</v>
      </c>
      <c r="G16" s="341">
        <v>0</v>
      </c>
      <c r="H16" s="672">
        <f t="shared" si="0"/>
        <v>0</v>
      </c>
    </row>
    <row r="17" spans="1:8">
      <c r="A17" s="465">
        <v>10</v>
      </c>
      <c r="B17" s="468" t="s">
        <v>445</v>
      </c>
      <c r="C17" s="341">
        <v>0</v>
      </c>
      <c r="D17" s="687">
        <v>6724823.7184222899</v>
      </c>
      <c r="E17" s="687">
        <v>5840265.7872010171</v>
      </c>
      <c r="F17" s="687">
        <v>223109.3742988068</v>
      </c>
      <c r="G17" s="341">
        <v>0</v>
      </c>
      <c r="H17" s="672">
        <f t="shared" si="0"/>
        <v>12788198.879922114</v>
      </c>
    </row>
    <row r="18" spans="1:8">
      <c r="A18" s="465">
        <v>11</v>
      </c>
      <c r="B18" s="466" t="s">
        <v>61</v>
      </c>
      <c r="C18" s="341">
        <v>0</v>
      </c>
      <c r="D18" s="341">
        <v>0</v>
      </c>
      <c r="E18" s="341">
        <v>0</v>
      </c>
      <c r="F18" s="341">
        <v>0</v>
      </c>
      <c r="G18" s="341">
        <v>0</v>
      </c>
      <c r="H18" s="672">
        <f t="shared" si="0"/>
        <v>0</v>
      </c>
    </row>
    <row r="19" spans="1:8">
      <c r="A19" s="465">
        <v>12</v>
      </c>
      <c r="B19" s="466" t="s">
        <v>62</v>
      </c>
      <c r="C19" s="341">
        <v>0</v>
      </c>
      <c r="D19" s="341">
        <v>0</v>
      </c>
      <c r="E19" s="341">
        <v>0</v>
      </c>
      <c r="F19" s="341">
        <v>0</v>
      </c>
      <c r="G19" s="341">
        <v>0</v>
      </c>
      <c r="H19" s="672">
        <f t="shared" si="0"/>
        <v>0</v>
      </c>
    </row>
    <row r="20" spans="1:8">
      <c r="A20" s="469">
        <v>13</v>
      </c>
      <c r="B20" s="467" t="s">
        <v>63</v>
      </c>
      <c r="C20" s="341">
        <v>0</v>
      </c>
      <c r="D20" s="341">
        <v>0</v>
      </c>
      <c r="E20" s="341">
        <v>0</v>
      </c>
      <c r="F20" s="341">
        <v>0</v>
      </c>
      <c r="G20" s="341">
        <v>0</v>
      </c>
      <c r="H20" s="672">
        <f t="shared" si="0"/>
        <v>0</v>
      </c>
    </row>
    <row r="21" spans="1:8">
      <c r="A21" s="465">
        <v>14</v>
      </c>
      <c r="B21" s="466" t="s">
        <v>431</v>
      </c>
      <c r="C21" s="341">
        <v>22043931.521100003</v>
      </c>
      <c r="D21" s="341">
        <v>0</v>
      </c>
      <c r="E21" s="341">
        <v>0</v>
      </c>
      <c r="F21" s="341">
        <v>0</v>
      </c>
      <c r="G21" s="341">
        <v>39018193.276000001</v>
      </c>
      <c r="H21" s="672">
        <f>SUM(C21:G21)</f>
        <v>61062124.797100008</v>
      </c>
    </row>
    <row r="22" spans="1:8">
      <c r="A22" s="470">
        <v>15</v>
      </c>
      <c r="B22" s="673" t="s">
        <v>59</v>
      </c>
      <c r="C22" s="672">
        <f>SUM(C18:C21)+SUM(C8:C16)</f>
        <v>22043931.521100003</v>
      </c>
      <c r="D22" s="672">
        <f t="shared" ref="D22:H22" si="1">SUM(D18:D21)+SUM(D8:D16)</f>
        <v>333491669.88271397</v>
      </c>
      <c r="E22" s="672">
        <f t="shared" si="1"/>
        <v>265446836.28853649</v>
      </c>
      <c r="F22" s="672">
        <f t="shared" si="1"/>
        <v>9746973.3191603087</v>
      </c>
      <c r="G22" s="672">
        <f t="shared" si="1"/>
        <v>39018193.276000001</v>
      </c>
      <c r="H22" s="672">
        <f t="shared" si="1"/>
        <v>669747604.28751087</v>
      </c>
    </row>
    <row r="23" spans="1:8">
      <c r="D23" s="671"/>
      <c r="E23" s="671"/>
      <c r="F23" s="671"/>
      <c r="G23" s="745"/>
      <c r="H23" s="371"/>
    </row>
    <row r="24" spans="1:8">
      <c r="D24" s="671"/>
      <c r="E24" s="671"/>
      <c r="F24" s="671"/>
    </row>
    <row r="25" spans="1:8">
      <c r="H25" s="671"/>
    </row>
    <row r="26" spans="1:8" ht="41.4">
      <c r="B26" s="674" t="s">
        <v>605</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1"/>
  <sheetViews>
    <sheetView showGridLines="0" zoomScale="80" zoomScaleNormal="80" workbookViewId="0">
      <pane xSplit="2" ySplit="6" topLeftCell="C7" activePane="bottomRight" state="frozen"/>
      <selection activeCell="C24" sqref="C24"/>
      <selection pane="topRight" activeCell="C24" sqref="C24"/>
      <selection pane="bottomLeft" activeCell="C24" sqref="C24"/>
      <selection pane="bottomRight" activeCell="D14" sqref="D14"/>
    </sheetView>
  </sheetViews>
  <sheetFormatPr defaultColWidth="9.21875" defaultRowHeight="12"/>
  <cols>
    <col min="1" max="1" width="11.77734375" style="514" bestFit="1" customWidth="1"/>
    <col min="2" max="2" width="86.5546875" style="510" customWidth="1"/>
    <col min="3" max="4" width="31.5546875" style="510" customWidth="1"/>
    <col min="5" max="5" width="16.44140625" style="510" bestFit="1" customWidth="1"/>
    <col min="6" max="6" width="14.21875" style="510" bestFit="1" customWidth="1"/>
    <col min="7" max="7" width="20" style="510" bestFit="1" customWidth="1"/>
    <col min="8" max="8" width="25.21875" style="510" bestFit="1" customWidth="1"/>
    <col min="9" max="9" width="12.6640625" style="510" bestFit="1" customWidth="1"/>
    <col min="10" max="16384" width="9.21875" style="510"/>
  </cols>
  <sheetData>
    <row r="1" spans="1:8" ht="13.8">
      <c r="A1" s="336" t="s">
        <v>869</v>
      </c>
      <c r="B1" s="338" t="str">
        <f>Info!C2</f>
        <v>კრისტალი</v>
      </c>
      <c r="C1" s="497"/>
      <c r="D1" s="497"/>
      <c r="E1" s="497"/>
      <c r="F1" s="497"/>
      <c r="G1" s="497"/>
      <c r="H1" s="497"/>
    </row>
    <row r="2" spans="1:8" ht="13.8">
      <c r="A2" s="336" t="s">
        <v>88</v>
      </c>
      <c r="B2" s="337">
        <f>'1. key ratios'!B2</f>
        <v>46112</v>
      </c>
      <c r="C2" s="497"/>
      <c r="D2" s="497"/>
      <c r="E2" s="497"/>
      <c r="F2" s="497"/>
      <c r="G2" s="497"/>
      <c r="H2" s="497"/>
    </row>
    <row r="3" spans="1:8">
      <c r="A3" s="498" t="s">
        <v>432</v>
      </c>
      <c r="B3" s="497"/>
      <c r="C3" s="497"/>
      <c r="D3" s="497"/>
      <c r="E3" s="497"/>
      <c r="F3" s="497"/>
      <c r="G3" s="497"/>
      <c r="H3" s="497"/>
    </row>
    <row r="4" spans="1:8">
      <c r="A4" s="127"/>
      <c r="B4" s="497"/>
      <c r="C4" s="69" t="s">
        <v>433</v>
      </c>
      <c r="D4" s="69" t="s">
        <v>434</v>
      </c>
      <c r="E4" s="69" t="s">
        <v>435</v>
      </c>
      <c r="F4" s="69" t="s">
        <v>436</v>
      </c>
      <c r="G4" s="69" t="s">
        <v>437</v>
      </c>
      <c r="H4" s="69" t="s">
        <v>438</v>
      </c>
    </row>
    <row r="5" spans="1:8" ht="34.049999999999997" customHeight="1">
      <c r="A5" s="845" t="s">
        <v>778</v>
      </c>
      <c r="B5" s="846"/>
      <c r="C5" s="849" t="s">
        <v>526</v>
      </c>
      <c r="D5" s="849"/>
      <c r="E5" s="849" t="s">
        <v>777</v>
      </c>
      <c r="F5" s="843" t="s">
        <v>776</v>
      </c>
      <c r="G5" s="843" t="s">
        <v>442</v>
      </c>
      <c r="H5" s="67" t="s">
        <v>775</v>
      </c>
    </row>
    <row r="6" spans="1:8" ht="24">
      <c r="A6" s="847"/>
      <c r="B6" s="848"/>
      <c r="C6" s="68" t="s">
        <v>443</v>
      </c>
      <c r="D6" s="68" t="s">
        <v>444</v>
      </c>
      <c r="E6" s="849"/>
      <c r="F6" s="844"/>
      <c r="G6" s="844"/>
      <c r="H6" s="67" t="s">
        <v>774</v>
      </c>
    </row>
    <row r="7" spans="1:8">
      <c r="A7" s="314">
        <v>1</v>
      </c>
      <c r="B7" s="311" t="s">
        <v>107</v>
      </c>
      <c r="C7" s="506">
        <v>0</v>
      </c>
      <c r="D7" s="506">
        <v>27005099.023800001</v>
      </c>
      <c r="E7" s="506">
        <v>0</v>
      </c>
      <c r="F7" s="506">
        <v>0</v>
      </c>
      <c r="G7" s="506">
        <v>0</v>
      </c>
      <c r="H7" s="511">
        <f t="shared" ref="H7:H20" si="0">C7+D7-E7-F7</f>
        <v>27005099.023800001</v>
      </c>
    </row>
    <row r="8" spans="1:8" ht="24">
      <c r="A8" s="314">
        <v>2</v>
      </c>
      <c r="B8" s="311" t="s">
        <v>108</v>
      </c>
      <c r="C8" s="506">
        <v>0</v>
      </c>
      <c r="D8" s="506">
        <v>0</v>
      </c>
      <c r="E8" s="506">
        <v>0</v>
      </c>
      <c r="F8" s="506">
        <v>0</v>
      </c>
      <c r="G8" s="506">
        <v>0</v>
      </c>
      <c r="H8" s="511">
        <f t="shared" si="0"/>
        <v>0</v>
      </c>
    </row>
    <row r="9" spans="1:8">
      <c r="A9" s="314">
        <v>3</v>
      </c>
      <c r="B9" s="311" t="s">
        <v>109</v>
      </c>
      <c r="C9" s="506">
        <v>0</v>
      </c>
      <c r="D9" s="506">
        <v>0</v>
      </c>
      <c r="E9" s="506">
        <v>0</v>
      </c>
      <c r="F9" s="506">
        <v>0</v>
      </c>
      <c r="G9" s="506">
        <v>0</v>
      </c>
      <c r="H9" s="511">
        <f t="shared" si="0"/>
        <v>0</v>
      </c>
    </row>
    <row r="10" spans="1:8">
      <c r="A10" s="314">
        <v>4</v>
      </c>
      <c r="B10" s="311" t="s">
        <v>110</v>
      </c>
      <c r="C10" s="506">
        <v>0</v>
      </c>
      <c r="D10" s="506">
        <v>0</v>
      </c>
      <c r="E10" s="506">
        <v>0</v>
      </c>
      <c r="F10" s="506">
        <v>0</v>
      </c>
      <c r="G10" s="506">
        <v>0</v>
      </c>
      <c r="H10" s="511">
        <f t="shared" si="0"/>
        <v>0</v>
      </c>
    </row>
    <row r="11" spans="1:8">
      <c r="A11" s="314">
        <v>5</v>
      </c>
      <c r="B11" s="311" t="s">
        <v>853</v>
      </c>
      <c r="C11" s="506">
        <v>0</v>
      </c>
      <c r="D11" s="506">
        <v>0</v>
      </c>
      <c r="E11" s="506">
        <v>0</v>
      </c>
      <c r="F11" s="506">
        <v>0</v>
      </c>
      <c r="G11" s="506">
        <v>0</v>
      </c>
      <c r="H11" s="511">
        <f t="shared" si="0"/>
        <v>0</v>
      </c>
    </row>
    <row r="12" spans="1:8">
      <c r="A12" s="314">
        <v>6</v>
      </c>
      <c r="B12" s="311" t="s">
        <v>913</v>
      </c>
      <c r="C12" s="506">
        <v>0</v>
      </c>
      <c r="D12" s="506">
        <f>' 17. Residual Maturity'!H13</f>
        <v>4909751.4562999997</v>
      </c>
      <c r="E12" s="506">
        <v>0</v>
      </c>
      <c r="F12" s="506">
        <v>0</v>
      </c>
      <c r="G12" s="506">
        <v>0</v>
      </c>
      <c r="H12" s="511">
        <f t="shared" si="0"/>
        <v>4909751.4562999997</v>
      </c>
    </row>
    <row r="13" spans="1:8">
      <c r="A13" s="314">
        <v>7</v>
      </c>
      <c r="B13" s="311" t="s">
        <v>64</v>
      </c>
      <c r="C13" s="506">
        <v>0</v>
      </c>
      <c r="D13" s="506">
        <v>0</v>
      </c>
      <c r="E13" s="506">
        <v>0</v>
      </c>
      <c r="F13" s="506">
        <v>0</v>
      </c>
      <c r="G13" s="506">
        <v>0</v>
      </c>
      <c r="H13" s="511">
        <f t="shared" si="0"/>
        <v>0</v>
      </c>
    </row>
    <row r="14" spans="1:8">
      <c r="A14" s="314">
        <v>8</v>
      </c>
      <c r="B14" s="312" t="s">
        <v>65</v>
      </c>
      <c r="C14" s="506">
        <v>23734819.726123508</v>
      </c>
      <c r="D14" s="688">
        <v>574595704.00873268</v>
      </c>
      <c r="E14" s="506">
        <v>21559894.521746028</v>
      </c>
      <c r="F14" s="506">
        <v>0</v>
      </c>
      <c r="G14" s="688">
        <v>6078031.9500000002</v>
      </c>
      <c r="H14" s="511">
        <f t="shared" si="0"/>
        <v>576770629.21311009</v>
      </c>
    </row>
    <row r="15" spans="1:8">
      <c r="A15" s="314">
        <v>9</v>
      </c>
      <c r="B15" s="311" t="s">
        <v>854</v>
      </c>
      <c r="C15" s="506">
        <v>0</v>
      </c>
      <c r="D15" s="506">
        <v>0</v>
      </c>
      <c r="E15" s="506">
        <v>0</v>
      </c>
      <c r="F15" s="506">
        <v>0</v>
      </c>
      <c r="G15" s="688">
        <v>0</v>
      </c>
      <c r="H15" s="511">
        <f t="shared" si="0"/>
        <v>0</v>
      </c>
    </row>
    <row r="16" spans="1:8">
      <c r="A16" s="314">
        <v>10</v>
      </c>
      <c r="B16" s="313" t="s">
        <v>445</v>
      </c>
      <c r="C16" s="506">
        <v>15329101.397273935</v>
      </c>
      <c r="D16" s="506">
        <v>9576807.2426481601</v>
      </c>
      <c r="E16" s="506">
        <v>12117709.759999961</v>
      </c>
      <c r="F16" s="506">
        <v>0</v>
      </c>
      <c r="G16" s="688">
        <v>0</v>
      </c>
      <c r="H16" s="511">
        <f t="shared" si="0"/>
        <v>12788198.879922137</v>
      </c>
    </row>
    <row r="17" spans="1:11">
      <c r="A17" s="314">
        <v>11</v>
      </c>
      <c r="B17" s="311" t="s">
        <v>61</v>
      </c>
      <c r="C17" s="506">
        <v>0</v>
      </c>
      <c r="D17" s="506">
        <v>0</v>
      </c>
      <c r="E17" s="506">
        <v>0</v>
      </c>
      <c r="F17" s="506">
        <v>0</v>
      </c>
      <c r="G17" s="688">
        <v>0</v>
      </c>
      <c r="H17" s="511">
        <f t="shared" si="0"/>
        <v>0</v>
      </c>
    </row>
    <row r="18" spans="1:11">
      <c r="A18" s="314">
        <v>12</v>
      </c>
      <c r="B18" s="311" t="s">
        <v>62</v>
      </c>
      <c r="C18" s="506">
        <v>0</v>
      </c>
      <c r="D18" s="506">
        <v>0</v>
      </c>
      <c r="E18" s="506">
        <v>0</v>
      </c>
      <c r="F18" s="506">
        <v>0</v>
      </c>
      <c r="G18" s="688">
        <v>0</v>
      </c>
      <c r="H18" s="511">
        <f t="shared" si="0"/>
        <v>0</v>
      </c>
    </row>
    <row r="19" spans="1:11">
      <c r="A19" s="315">
        <v>13</v>
      </c>
      <c r="B19" s="312" t="s">
        <v>63</v>
      </c>
      <c r="C19" s="506">
        <v>0</v>
      </c>
      <c r="D19" s="506">
        <v>0</v>
      </c>
      <c r="E19" s="506">
        <v>0</v>
      </c>
      <c r="F19" s="506">
        <v>0</v>
      </c>
      <c r="G19" s="688">
        <v>0</v>
      </c>
      <c r="H19" s="511">
        <f t="shared" si="0"/>
        <v>0</v>
      </c>
    </row>
    <row r="20" spans="1:11">
      <c r="A20" s="314">
        <v>14</v>
      </c>
      <c r="B20" s="311" t="s">
        <v>431</v>
      </c>
      <c r="C20" s="506">
        <v>0</v>
      </c>
      <c r="D20" s="506">
        <v>61298228.087100007</v>
      </c>
      <c r="E20" s="506">
        <v>236103.61</v>
      </c>
      <c r="F20" s="506">
        <v>0</v>
      </c>
      <c r="G20" s="688">
        <v>0</v>
      </c>
      <c r="H20" s="511">
        <f t="shared" si="0"/>
        <v>61062124.477100007</v>
      </c>
    </row>
    <row r="21" spans="1:11" s="512" customFormat="1">
      <c r="A21" s="316">
        <v>15</v>
      </c>
      <c r="B21" s="501" t="s">
        <v>59</v>
      </c>
      <c r="C21" s="502">
        <f t="shared" ref="C21:H21" si="1">SUM(C7:C15)+SUM(C17:C20)</f>
        <v>23734819.726123508</v>
      </c>
      <c r="D21" s="502">
        <f t="shared" si="1"/>
        <v>667808782.57593274</v>
      </c>
      <c r="E21" s="502">
        <f t="shared" si="1"/>
        <v>21795998.131746028</v>
      </c>
      <c r="F21" s="502">
        <f t="shared" si="1"/>
        <v>0</v>
      </c>
      <c r="G21" s="757">
        <f t="shared" si="1"/>
        <v>6078031.9500000002</v>
      </c>
      <c r="H21" s="693">
        <f t="shared" si="1"/>
        <v>669747604.17031014</v>
      </c>
      <c r="I21" s="510"/>
      <c r="J21" s="510"/>
      <c r="K21" s="510"/>
    </row>
    <row r="22" spans="1:11">
      <c r="A22" s="513">
        <v>16</v>
      </c>
      <c r="B22" s="504" t="s">
        <v>446</v>
      </c>
      <c r="C22" s="506">
        <v>21481273.626886722</v>
      </c>
      <c r="D22" s="688">
        <v>558141379.57622325</v>
      </c>
      <c r="E22" s="506">
        <v>20944947.479999483</v>
      </c>
      <c r="F22" s="506">
        <v>0</v>
      </c>
      <c r="G22" s="688">
        <v>6078031.9500000002</v>
      </c>
      <c r="H22" s="511">
        <f>C22+D22-E22-F22</f>
        <v>558677705.72311044</v>
      </c>
    </row>
    <row r="23" spans="1:11">
      <c r="A23" s="513">
        <v>17</v>
      </c>
      <c r="B23" s="504" t="s">
        <v>447</v>
      </c>
      <c r="C23" s="506">
        <v>0</v>
      </c>
      <c r="D23" s="506">
        <v>0</v>
      </c>
      <c r="E23" s="506">
        <v>0</v>
      </c>
      <c r="F23" s="506">
        <v>0</v>
      </c>
      <c r="G23" s="506">
        <v>0</v>
      </c>
      <c r="H23" s="511">
        <f>C23+D23-E23-F23</f>
        <v>0</v>
      </c>
    </row>
    <row r="24" spans="1:11">
      <c r="C24" s="689"/>
      <c r="D24" s="515"/>
      <c r="E24" s="515"/>
    </row>
    <row r="25" spans="1:11">
      <c r="D25" s="690"/>
      <c r="E25" s="690"/>
      <c r="F25" s="691"/>
      <c r="G25" s="690"/>
    </row>
    <row r="26" spans="1:11" ht="42.45" customHeight="1">
      <c r="B26" s="516" t="s">
        <v>605</v>
      </c>
      <c r="C26" s="689"/>
      <c r="D26" s="690"/>
      <c r="F26" s="691"/>
      <c r="H26" s="690"/>
    </row>
    <row r="27" spans="1:11">
      <c r="C27" s="702"/>
      <c r="D27" s="702"/>
      <c r="E27" s="702"/>
    </row>
    <row r="29" spans="1:11">
      <c r="C29" s="702"/>
      <c r="D29" s="702"/>
    </row>
    <row r="31" spans="1:11">
      <c r="C31" s="731"/>
      <c r="D31" s="731"/>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6"/>
  <sheetViews>
    <sheetView showGridLines="0" zoomScale="80" zoomScaleNormal="80" workbookViewId="0">
      <pane xSplit="2" ySplit="6" topLeftCell="C7" activePane="bottomRight" state="frozen"/>
      <selection activeCell="C24" sqref="C24"/>
      <selection pane="topRight" activeCell="C24" sqref="C24"/>
      <selection pane="bottomLeft" activeCell="C24" sqref="C24"/>
      <selection pane="bottomRight" activeCell="C22" sqref="C22"/>
    </sheetView>
  </sheetViews>
  <sheetFormatPr defaultColWidth="9.21875" defaultRowHeight="12"/>
  <cols>
    <col min="1" max="1" width="12.77734375" style="510" bestFit="1" customWidth="1"/>
    <col min="2" max="2" width="59.88671875" style="510" bestFit="1" customWidth="1"/>
    <col min="3" max="4" width="35" style="510" customWidth="1"/>
    <col min="5" max="7" width="22" style="510" customWidth="1"/>
    <col min="8" max="8" width="42.21875" style="510" bestFit="1" customWidth="1"/>
    <col min="9" max="9" width="14.21875" style="510" customWidth="1"/>
    <col min="10" max="10" width="12.6640625" style="510" customWidth="1"/>
    <col min="11" max="11" width="11.6640625" style="510" bestFit="1" customWidth="1"/>
    <col min="12" max="16384" width="9.21875" style="510"/>
  </cols>
  <sheetData>
    <row r="1" spans="1:8" ht="13.8">
      <c r="A1" s="336" t="s">
        <v>869</v>
      </c>
      <c r="B1" s="338" t="str">
        <f>Info!C2</f>
        <v>კრისტალი</v>
      </c>
      <c r="C1" s="497"/>
      <c r="D1" s="497"/>
      <c r="E1" s="497"/>
      <c r="F1" s="497"/>
      <c r="G1" s="497"/>
      <c r="H1" s="497"/>
    </row>
    <row r="2" spans="1:8" ht="13.8">
      <c r="A2" s="336" t="s">
        <v>88</v>
      </c>
      <c r="B2" s="337">
        <f>'1. key ratios'!B2</f>
        <v>46112</v>
      </c>
      <c r="C2" s="497"/>
      <c r="D2" s="497"/>
      <c r="E2" s="497"/>
      <c r="F2" s="497"/>
      <c r="G2" s="497"/>
      <c r="H2" s="497"/>
    </row>
    <row r="3" spans="1:8">
      <c r="A3" s="498" t="s">
        <v>448</v>
      </c>
      <c r="B3" s="497"/>
      <c r="C3" s="497"/>
      <c r="D3" s="497"/>
      <c r="E3" s="497"/>
      <c r="F3" s="497"/>
      <c r="G3" s="497"/>
      <c r="H3" s="497"/>
    </row>
    <row r="4" spans="1:8">
      <c r="A4" s="497"/>
      <c r="B4" s="497"/>
      <c r="C4" s="69" t="s">
        <v>433</v>
      </c>
      <c r="D4" s="69" t="s">
        <v>434</v>
      </c>
      <c r="E4" s="69" t="s">
        <v>435</v>
      </c>
      <c r="F4" s="69" t="s">
        <v>436</v>
      </c>
      <c r="G4" s="69" t="s">
        <v>437</v>
      </c>
      <c r="H4" s="69" t="s">
        <v>438</v>
      </c>
    </row>
    <row r="5" spans="1:8">
      <c r="A5" s="845" t="s">
        <v>780</v>
      </c>
      <c r="B5" s="846"/>
      <c r="C5" s="850" t="s">
        <v>526</v>
      </c>
      <c r="D5" s="851"/>
      <c r="E5" s="843" t="s">
        <v>777</v>
      </c>
      <c r="F5" s="843" t="s">
        <v>776</v>
      </c>
      <c r="G5" s="843" t="s">
        <v>442</v>
      </c>
      <c r="H5" s="67" t="s">
        <v>775</v>
      </c>
    </row>
    <row r="6" spans="1:8" ht="43.8" customHeight="1">
      <c r="A6" s="847"/>
      <c r="B6" s="848"/>
      <c r="C6" s="68" t="s">
        <v>443</v>
      </c>
      <c r="D6" s="68" t="s">
        <v>444</v>
      </c>
      <c r="E6" s="844"/>
      <c r="F6" s="844"/>
      <c r="G6" s="844"/>
      <c r="H6" s="67" t="s">
        <v>774</v>
      </c>
    </row>
    <row r="7" spans="1:8">
      <c r="A7" s="503">
        <v>1</v>
      </c>
      <c r="B7" s="71" t="s">
        <v>449</v>
      </c>
      <c r="C7" s="506">
        <v>0</v>
      </c>
      <c r="D7" s="506">
        <v>0</v>
      </c>
      <c r="E7" s="506">
        <v>0</v>
      </c>
      <c r="F7" s="506">
        <v>0</v>
      </c>
      <c r="G7" s="506">
        <v>0</v>
      </c>
      <c r="H7" s="511">
        <f t="shared" ref="H7:H34" si="0">C7+D7-E7-F7</f>
        <v>0</v>
      </c>
    </row>
    <row r="8" spans="1:8">
      <c r="A8" s="503">
        <v>2</v>
      </c>
      <c r="B8" s="71" t="s">
        <v>450</v>
      </c>
      <c r="C8" s="506">
        <v>0</v>
      </c>
      <c r="D8" s="506">
        <v>68175.605225263149</v>
      </c>
      <c r="E8" s="506">
        <v>2350.5800000000004</v>
      </c>
      <c r="F8" s="506">
        <v>0</v>
      </c>
      <c r="G8" s="506">
        <v>0</v>
      </c>
      <c r="H8" s="511">
        <f t="shared" si="0"/>
        <v>65825.025225263147</v>
      </c>
    </row>
    <row r="9" spans="1:8">
      <c r="A9" s="503">
        <v>3</v>
      </c>
      <c r="B9" s="71" t="s">
        <v>779</v>
      </c>
      <c r="C9" s="506">
        <v>0</v>
      </c>
      <c r="D9" s="506">
        <v>19951.001251540685</v>
      </c>
      <c r="E9" s="506">
        <v>152.85</v>
      </c>
      <c r="F9" s="506">
        <v>0</v>
      </c>
      <c r="G9" s="506">
        <v>0</v>
      </c>
      <c r="H9" s="511">
        <f t="shared" si="0"/>
        <v>19798.151251540687</v>
      </c>
    </row>
    <row r="10" spans="1:8">
      <c r="A10" s="503">
        <v>4</v>
      </c>
      <c r="B10" s="71" t="s">
        <v>451</v>
      </c>
      <c r="C10" s="506">
        <v>0</v>
      </c>
      <c r="D10" s="506">
        <v>0</v>
      </c>
      <c r="E10" s="506">
        <v>0</v>
      </c>
      <c r="F10" s="506">
        <v>0</v>
      </c>
      <c r="G10" s="506">
        <v>0</v>
      </c>
      <c r="H10" s="511">
        <f t="shared" si="0"/>
        <v>0</v>
      </c>
    </row>
    <row r="11" spans="1:8">
      <c r="A11" s="503">
        <v>5</v>
      </c>
      <c r="B11" s="71" t="s">
        <v>452</v>
      </c>
      <c r="C11" s="506">
        <v>14132.954296747101</v>
      </c>
      <c r="D11" s="506">
        <v>1841214.557656779</v>
      </c>
      <c r="E11" s="506">
        <v>39950.379999999961</v>
      </c>
      <c r="F11" s="506">
        <v>0</v>
      </c>
      <c r="G11" s="506">
        <v>0</v>
      </c>
      <c r="H11" s="511">
        <f t="shared" si="0"/>
        <v>1815397.1319535261</v>
      </c>
    </row>
    <row r="12" spans="1:8">
      <c r="A12" s="503">
        <v>6</v>
      </c>
      <c r="B12" s="71" t="s">
        <v>453</v>
      </c>
      <c r="C12" s="506">
        <v>662433.13957807573</v>
      </c>
      <c r="D12" s="506">
        <v>9531215.9711762145</v>
      </c>
      <c r="E12" s="506">
        <v>580151.1100000008</v>
      </c>
      <c r="F12" s="506">
        <v>0</v>
      </c>
      <c r="G12" s="506">
        <v>0</v>
      </c>
      <c r="H12" s="511">
        <f t="shared" si="0"/>
        <v>9613498.0007542893</v>
      </c>
    </row>
    <row r="13" spans="1:8">
      <c r="A13" s="503">
        <v>7</v>
      </c>
      <c r="B13" s="71" t="s">
        <v>454</v>
      </c>
      <c r="C13" s="506">
        <v>87254.039148528595</v>
      </c>
      <c r="D13" s="506">
        <v>2468028.6324646487</v>
      </c>
      <c r="E13" s="506">
        <v>93000.37</v>
      </c>
      <c r="F13" s="506">
        <v>0</v>
      </c>
      <c r="G13" s="506">
        <v>0</v>
      </c>
      <c r="H13" s="511">
        <f t="shared" si="0"/>
        <v>2462282.3016131772</v>
      </c>
    </row>
    <row r="14" spans="1:8">
      <c r="A14" s="503">
        <v>8</v>
      </c>
      <c r="B14" s="71" t="s">
        <v>455</v>
      </c>
      <c r="C14" s="506">
        <v>691439.71285412111</v>
      </c>
      <c r="D14" s="506">
        <v>18004760.684362598</v>
      </c>
      <c r="E14" s="506">
        <v>697561.07000000053</v>
      </c>
      <c r="F14" s="506">
        <v>0</v>
      </c>
      <c r="G14" s="506">
        <v>0</v>
      </c>
      <c r="H14" s="511">
        <f t="shared" si="0"/>
        <v>17998639.327216718</v>
      </c>
    </row>
    <row r="15" spans="1:8">
      <c r="A15" s="503">
        <v>9</v>
      </c>
      <c r="B15" s="71" t="s">
        <v>456</v>
      </c>
      <c r="C15" s="506">
        <v>224014.38986137949</v>
      </c>
      <c r="D15" s="506">
        <v>4281830.1620601956</v>
      </c>
      <c r="E15" s="506">
        <v>226823.78999999992</v>
      </c>
      <c r="F15" s="506">
        <v>0</v>
      </c>
      <c r="G15" s="506">
        <v>0</v>
      </c>
      <c r="H15" s="511">
        <f t="shared" si="0"/>
        <v>4279020.7619215753</v>
      </c>
    </row>
    <row r="16" spans="1:8" ht="24">
      <c r="A16" s="503">
        <v>10</v>
      </c>
      <c r="B16" s="71" t="s">
        <v>457</v>
      </c>
      <c r="C16" s="506">
        <v>193561.12687790746</v>
      </c>
      <c r="D16" s="506">
        <v>4266013.3744791048</v>
      </c>
      <c r="E16" s="506">
        <v>167346.09000000005</v>
      </c>
      <c r="F16" s="506">
        <v>0</v>
      </c>
      <c r="G16" s="506">
        <v>0</v>
      </c>
      <c r="H16" s="511">
        <f t="shared" si="0"/>
        <v>4292228.4113570126</v>
      </c>
    </row>
    <row r="17" spans="1:8">
      <c r="A17" s="503">
        <v>11</v>
      </c>
      <c r="B17" s="71" t="s">
        <v>458</v>
      </c>
      <c r="C17" s="506">
        <v>456628.22255813424</v>
      </c>
      <c r="D17" s="506">
        <v>13569875.226952726</v>
      </c>
      <c r="E17" s="506">
        <v>513107.96000000084</v>
      </c>
      <c r="F17" s="506">
        <v>0</v>
      </c>
      <c r="G17" s="506">
        <v>0</v>
      </c>
      <c r="H17" s="511">
        <f t="shared" si="0"/>
        <v>13513395.48951086</v>
      </c>
    </row>
    <row r="18" spans="1:8">
      <c r="A18" s="503">
        <v>12</v>
      </c>
      <c r="B18" s="71" t="s">
        <v>459</v>
      </c>
      <c r="C18" s="506">
        <v>279000.03500075918</v>
      </c>
      <c r="D18" s="506">
        <v>8375849.7925647991</v>
      </c>
      <c r="E18" s="506">
        <v>329141.2699999999</v>
      </c>
      <c r="F18" s="506">
        <v>0</v>
      </c>
      <c r="G18" s="506">
        <v>707427.54999999981</v>
      </c>
      <c r="H18" s="511">
        <f t="shared" si="0"/>
        <v>8325708.5575655587</v>
      </c>
    </row>
    <row r="19" spans="1:8">
      <c r="A19" s="503">
        <v>13</v>
      </c>
      <c r="B19" s="71" t="s">
        <v>460</v>
      </c>
      <c r="C19" s="506">
        <v>20468.513521264536</v>
      </c>
      <c r="D19" s="506">
        <v>631016.83269785356</v>
      </c>
      <c r="E19" s="506">
        <v>25435.450000000004</v>
      </c>
      <c r="F19" s="506">
        <v>0</v>
      </c>
      <c r="G19" s="506">
        <v>69540.38</v>
      </c>
      <c r="H19" s="511">
        <f t="shared" si="0"/>
        <v>626049.89621911815</v>
      </c>
    </row>
    <row r="20" spans="1:8">
      <c r="A20" s="503">
        <v>14</v>
      </c>
      <c r="B20" s="71" t="s">
        <v>461</v>
      </c>
      <c r="C20" s="506">
        <v>55076.203802791126</v>
      </c>
      <c r="D20" s="506">
        <v>5284631.3254839415</v>
      </c>
      <c r="E20" s="506">
        <v>111047.12999999984</v>
      </c>
      <c r="F20" s="506">
        <v>0</v>
      </c>
      <c r="G20" s="506">
        <v>0</v>
      </c>
      <c r="H20" s="511">
        <f t="shared" si="0"/>
        <v>5228660.399286733</v>
      </c>
    </row>
    <row r="21" spans="1:8">
      <c r="A21" s="503">
        <v>15</v>
      </c>
      <c r="B21" s="71" t="s">
        <v>462</v>
      </c>
      <c r="C21" s="506">
        <v>112397.80598522205</v>
      </c>
      <c r="D21" s="506">
        <v>2676645.9972751131</v>
      </c>
      <c r="E21" s="506">
        <v>103659.49999999999</v>
      </c>
      <c r="F21" s="506">
        <v>0</v>
      </c>
      <c r="G21" s="506">
        <v>0</v>
      </c>
      <c r="H21" s="511">
        <f t="shared" si="0"/>
        <v>2685384.3032603352</v>
      </c>
    </row>
    <row r="22" spans="1:8">
      <c r="A22" s="503">
        <v>16</v>
      </c>
      <c r="B22" s="71" t="s">
        <v>463</v>
      </c>
      <c r="C22" s="506">
        <v>0</v>
      </c>
      <c r="D22" s="506">
        <v>32518.331750518253</v>
      </c>
      <c r="E22" s="506">
        <v>379.39</v>
      </c>
      <c r="F22" s="506">
        <v>0</v>
      </c>
      <c r="G22" s="506">
        <v>0</v>
      </c>
      <c r="H22" s="511">
        <f t="shared" si="0"/>
        <v>32138.941750518254</v>
      </c>
    </row>
    <row r="23" spans="1:8">
      <c r="A23" s="503">
        <v>17</v>
      </c>
      <c r="B23" s="71" t="s">
        <v>464</v>
      </c>
      <c r="C23" s="506">
        <v>15286.422475990919</v>
      </c>
      <c r="D23" s="506">
        <v>61651.768662641698</v>
      </c>
      <c r="E23" s="506">
        <v>12374.95</v>
      </c>
      <c r="F23" s="506">
        <v>0</v>
      </c>
      <c r="G23" s="506">
        <v>0</v>
      </c>
      <c r="H23" s="511">
        <f t="shared" si="0"/>
        <v>64563.241138632628</v>
      </c>
    </row>
    <row r="24" spans="1:8">
      <c r="A24" s="503">
        <v>18</v>
      </c>
      <c r="B24" s="71" t="s">
        <v>465</v>
      </c>
      <c r="C24" s="506">
        <v>5233.1516565914972</v>
      </c>
      <c r="D24" s="506">
        <v>105022.7414083653</v>
      </c>
      <c r="E24" s="506">
        <v>5194.49</v>
      </c>
      <c r="F24" s="506">
        <v>0</v>
      </c>
      <c r="G24" s="506">
        <v>0</v>
      </c>
      <c r="H24" s="511">
        <f t="shared" si="0"/>
        <v>105061.40306495679</v>
      </c>
    </row>
    <row r="25" spans="1:8">
      <c r="A25" s="503">
        <v>19</v>
      </c>
      <c r="B25" s="71" t="s">
        <v>466</v>
      </c>
      <c r="C25" s="506">
        <v>63178.184032693622</v>
      </c>
      <c r="D25" s="506">
        <v>2933584.3061868013</v>
      </c>
      <c r="E25" s="506">
        <v>87429.499999999942</v>
      </c>
      <c r="F25" s="506">
        <v>0</v>
      </c>
      <c r="G25" s="506">
        <v>0</v>
      </c>
      <c r="H25" s="511">
        <f t="shared" si="0"/>
        <v>2909332.9902194948</v>
      </c>
    </row>
    <row r="26" spans="1:8">
      <c r="A26" s="503">
        <v>20</v>
      </c>
      <c r="B26" s="71" t="s">
        <v>467</v>
      </c>
      <c r="C26" s="506">
        <v>72658.365860843915</v>
      </c>
      <c r="D26" s="506">
        <v>2291319.4149648943</v>
      </c>
      <c r="E26" s="506">
        <v>69043.190000000075</v>
      </c>
      <c r="F26" s="506">
        <v>0</v>
      </c>
      <c r="G26" s="506">
        <v>0</v>
      </c>
      <c r="H26" s="511">
        <f t="shared" si="0"/>
        <v>2294934.5908257384</v>
      </c>
    </row>
    <row r="27" spans="1:8">
      <c r="A27" s="503">
        <v>21</v>
      </c>
      <c r="B27" s="71" t="s">
        <v>468</v>
      </c>
      <c r="C27" s="506">
        <v>0</v>
      </c>
      <c r="D27" s="506">
        <v>374591.37471554533</v>
      </c>
      <c r="E27" s="506">
        <v>3543.7200000000003</v>
      </c>
      <c r="F27" s="506">
        <v>0</v>
      </c>
      <c r="G27" s="506">
        <v>0</v>
      </c>
      <c r="H27" s="511">
        <f t="shared" si="0"/>
        <v>371047.65471554536</v>
      </c>
    </row>
    <row r="28" spans="1:8">
      <c r="A28" s="503">
        <v>22</v>
      </c>
      <c r="B28" s="71" t="s">
        <v>469</v>
      </c>
      <c r="C28" s="506">
        <v>28267.253724972325</v>
      </c>
      <c r="D28" s="506">
        <v>75243.560804464039</v>
      </c>
      <c r="E28" s="506">
        <v>23550.02</v>
      </c>
      <c r="F28" s="506">
        <v>0</v>
      </c>
      <c r="G28" s="506">
        <v>0</v>
      </c>
      <c r="H28" s="511">
        <f t="shared" si="0"/>
        <v>79960.79452943636</v>
      </c>
    </row>
    <row r="29" spans="1:8">
      <c r="A29" s="503">
        <v>23</v>
      </c>
      <c r="B29" s="71" t="s">
        <v>470</v>
      </c>
      <c r="C29" s="506">
        <v>3302709.8709836341</v>
      </c>
      <c r="D29" s="506">
        <v>60713956.337383859</v>
      </c>
      <c r="E29" s="506">
        <v>2783120.1100000059</v>
      </c>
      <c r="F29" s="506">
        <v>0</v>
      </c>
      <c r="G29" s="506">
        <v>2335129.7800000012</v>
      </c>
      <c r="H29" s="511">
        <f t="shared" si="0"/>
        <v>61233546.09836749</v>
      </c>
    </row>
    <row r="30" spans="1:8">
      <c r="A30" s="503">
        <v>24</v>
      </c>
      <c r="B30" s="71" t="s">
        <v>471</v>
      </c>
      <c r="C30" s="506">
        <v>3953075.9701020271</v>
      </c>
      <c r="D30" s="506">
        <v>73992178.810095742</v>
      </c>
      <c r="E30" s="506">
        <v>3997358.479999959</v>
      </c>
      <c r="F30" s="506">
        <v>0</v>
      </c>
      <c r="G30" s="506">
        <v>1379173.6299999992</v>
      </c>
      <c r="H30" s="511">
        <f t="shared" si="0"/>
        <v>73947896.30019781</v>
      </c>
    </row>
    <row r="31" spans="1:8">
      <c r="A31" s="503">
        <v>25</v>
      </c>
      <c r="B31" s="71" t="s">
        <v>472</v>
      </c>
      <c r="C31" s="506">
        <v>11244458.264564991</v>
      </c>
      <c r="D31" s="506">
        <v>346542103.76659554</v>
      </c>
      <c r="E31" s="506">
        <v>11073226.079999767</v>
      </c>
      <c r="F31" s="506">
        <v>0</v>
      </c>
      <c r="G31" s="506">
        <v>1586760.6099999999</v>
      </c>
      <c r="H31" s="511">
        <f t="shared" si="0"/>
        <v>346713335.95116079</v>
      </c>
    </row>
    <row r="32" spans="1:8">
      <c r="A32" s="503">
        <v>26</v>
      </c>
      <c r="B32" s="71" t="s">
        <v>473</v>
      </c>
      <c r="C32" s="506">
        <v>0</v>
      </c>
      <c r="D32" s="506">
        <v>0</v>
      </c>
      <c r="E32" s="506">
        <v>0</v>
      </c>
      <c r="F32" s="506">
        <v>0</v>
      </c>
      <c r="G32" s="506">
        <v>0</v>
      </c>
      <c r="H32" s="511">
        <f t="shared" si="0"/>
        <v>0</v>
      </c>
    </row>
    <row r="33" spans="1:8">
      <c r="A33" s="503">
        <v>27</v>
      </c>
      <c r="B33" s="503" t="s">
        <v>79</v>
      </c>
      <c r="C33" s="506">
        <v>0</v>
      </c>
      <c r="D33" s="506">
        <v>111920949.22720002</v>
      </c>
      <c r="E33" s="506">
        <v>851050.65</v>
      </c>
      <c r="F33" s="506">
        <v>0</v>
      </c>
      <c r="G33" s="506">
        <v>0</v>
      </c>
      <c r="H33" s="511">
        <f t="shared" si="0"/>
        <v>111069898.57720001</v>
      </c>
    </row>
    <row r="34" spans="1:8">
      <c r="A34" s="503">
        <v>28</v>
      </c>
      <c r="B34" s="501" t="s">
        <v>59</v>
      </c>
      <c r="C34" s="502">
        <f>SUM(C7:C33)</f>
        <v>21481273.626886673</v>
      </c>
      <c r="D34" s="502">
        <f>SUM(D7:D33)</f>
        <v>670062328.80341911</v>
      </c>
      <c r="E34" s="502">
        <f>SUM(E7:E33)</f>
        <v>21795998.129999734</v>
      </c>
      <c r="F34" s="502">
        <f>SUM(F7:F33)</f>
        <v>0</v>
      </c>
      <c r="G34" s="502">
        <f>SUM(G7:G33)</f>
        <v>6078031.9499999993</v>
      </c>
      <c r="H34" s="693">
        <f t="shared" si="0"/>
        <v>669747604.30030608</v>
      </c>
    </row>
    <row r="35" spans="1:8">
      <c r="D35" s="515"/>
      <c r="E35" s="515"/>
    </row>
    <row r="36" spans="1:8">
      <c r="B36" s="517"/>
      <c r="D36" s="690"/>
      <c r="E36" s="690"/>
      <c r="G36" s="690"/>
      <c r="H36" s="690"/>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7"/>
  <sheetViews>
    <sheetView showGridLines="0" zoomScale="80" zoomScaleNormal="80" workbookViewId="0">
      <selection activeCell="C7" sqref="C7"/>
    </sheetView>
  </sheetViews>
  <sheetFormatPr defaultColWidth="9.21875" defaultRowHeight="12"/>
  <cols>
    <col min="1" max="1" width="11.77734375" style="49" bestFit="1" customWidth="1"/>
    <col min="2" max="2" width="108" style="49" bestFit="1" customWidth="1"/>
    <col min="3" max="3" width="35.5546875" style="49" customWidth="1"/>
    <col min="4" max="4" width="38.44140625" style="49" customWidth="1"/>
    <col min="5" max="5" width="11.109375" style="49" bestFit="1" customWidth="1"/>
    <col min="6" max="16384" width="9.21875" style="49"/>
  </cols>
  <sheetData>
    <row r="1" spans="1:4" ht="13.8">
      <c r="A1" s="336" t="s">
        <v>869</v>
      </c>
      <c r="B1" s="338" t="str">
        <f>Info!C2</f>
        <v>კრისტალი</v>
      </c>
    </row>
    <row r="2" spans="1:4" ht="13.8">
      <c r="A2" s="336" t="s">
        <v>88</v>
      </c>
      <c r="B2" s="337">
        <f>'1. key ratios'!B2</f>
        <v>46112</v>
      </c>
    </row>
    <row r="3" spans="1:4">
      <c r="A3" s="50" t="s">
        <v>474</v>
      </c>
    </row>
    <row r="5" spans="1:4">
      <c r="A5" s="852" t="s">
        <v>791</v>
      </c>
      <c r="B5" s="852"/>
      <c r="C5" s="473" t="s">
        <v>493</v>
      </c>
      <c r="D5" s="473" t="s">
        <v>790</v>
      </c>
    </row>
    <row r="6" spans="1:4">
      <c r="A6" s="76">
        <v>1</v>
      </c>
      <c r="B6" s="72" t="s">
        <v>789</v>
      </c>
      <c r="C6" s="475">
        <v>19935352.349641263</v>
      </c>
      <c r="D6" s="475">
        <v>0</v>
      </c>
    </row>
    <row r="7" spans="1:4">
      <c r="A7" s="74">
        <v>2</v>
      </c>
      <c r="B7" s="72" t="s">
        <v>788</v>
      </c>
      <c r="C7" s="746">
        <f>SUM(C8:C9)</f>
        <v>13080431.282206018</v>
      </c>
      <c r="D7" s="474">
        <f>SUM(D8:D9)</f>
        <v>0</v>
      </c>
    </row>
    <row r="8" spans="1:4">
      <c r="A8" s="75">
        <v>2.1</v>
      </c>
      <c r="B8" s="747" t="s">
        <v>787</v>
      </c>
      <c r="C8" s="746">
        <v>1509993.4899999986</v>
      </c>
      <c r="D8" s="474">
        <v>0</v>
      </c>
    </row>
    <row r="9" spans="1:4">
      <c r="A9" s="75">
        <v>2.2000000000000002</v>
      </c>
      <c r="B9" s="747" t="s">
        <v>786</v>
      </c>
      <c r="C9" s="746">
        <v>11570437.792206019</v>
      </c>
      <c r="D9" s="474">
        <v>0</v>
      </c>
    </row>
    <row r="10" spans="1:4">
      <c r="A10" s="76">
        <v>3</v>
      </c>
      <c r="B10" s="72" t="s">
        <v>785</v>
      </c>
      <c r="C10" s="746">
        <f>SUM(C11:C13)</f>
        <v>12070836.714043992</v>
      </c>
      <c r="D10" s="474">
        <f>SUM(D11:D13)</f>
        <v>0</v>
      </c>
    </row>
    <row r="11" spans="1:4">
      <c r="A11" s="75">
        <v>3.1</v>
      </c>
      <c r="B11" s="747" t="s">
        <v>475</v>
      </c>
      <c r="C11" s="746">
        <v>6078031.9500000002</v>
      </c>
      <c r="D11" s="474">
        <v>0</v>
      </c>
    </row>
    <row r="12" spans="1:4">
      <c r="A12" s="75">
        <v>3.2</v>
      </c>
      <c r="B12" s="747" t="s">
        <v>784</v>
      </c>
      <c r="C12" s="746">
        <v>2786062.7003909969</v>
      </c>
      <c r="D12" s="474">
        <v>0</v>
      </c>
    </row>
    <row r="13" spans="1:4">
      <c r="A13" s="75">
        <v>3.3</v>
      </c>
      <c r="B13" s="747" t="s">
        <v>783</v>
      </c>
      <c r="C13" s="746">
        <v>3206742.0636529946</v>
      </c>
      <c r="D13" s="474">
        <v>0</v>
      </c>
    </row>
    <row r="14" spans="1:4">
      <c r="A14" s="74">
        <v>4</v>
      </c>
      <c r="B14" s="748" t="s">
        <v>782</v>
      </c>
      <c r="C14" s="746">
        <v>0</v>
      </c>
      <c r="D14" s="474">
        <v>0</v>
      </c>
    </row>
    <row r="15" spans="1:4">
      <c r="A15" s="73">
        <v>5</v>
      </c>
      <c r="B15" s="72" t="s">
        <v>781</v>
      </c>
      <c r="C15" s="749">
        <f>C6+C7-C10+C14</f>
        <v>20944946.917803288</v>
      </c>
      <c r="D15" s="474">
        <f>D6+D7-D10+D14</f>
        <v>0</v>
      </c>
    </row>
    <row r="16" spans="1:4">
      <c r="B16" s="699"/>
      <c r="C16" s="698"/>
    </row>
    <row r="17" spans="3:3">
      <c r="C17" s="700"/>
    </row>
  </sheetData>
  <mergeCells count="1">
    <mergeCell ref="A5:B5"/>
  </mergeCells>
  <pageMargins left="0.7" right="0.7" top="0.75" bottom="0.75" header="0.3" footer="0.3"/>
  <pageSetup orientation="portrait" horizontalDpi="4294967292" verticalDpi="0" r:id="rId1"/>
  <ignoredErrors>
    <ignoredError sqref="C10:D10"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26"/>
  <sheetViews>
    <sheetView showGridLines="0" zoomScale="80" zoomScaleNormal="80" workbookViewId="0">
      <selection activeCell="C9" sqref="C9"/>
    </sheetView>
  </sheetViews>
  <sheetFormatPr defaultColWidth="9.21875" defaultRowHeight="12"/>
  <cols>
    <col min="1" max="1" width="11.77734375" style="70" bestFit="1" customWidth="1"/>
    <col min="2" max="2" width="126.33203125" style="70" bestFit="1" customWidth="1"/>
    <col min="3" max="3" width="37" style="70" customWidth="1"/>
    <col min="4" max="4" width="50.5546875" style="70" customWidth="1"/>
    <col min="5" max="16384" width="9.21875" style="70"/>
  </cols>
  <sheetData>
    <row r="1" spans="1:4" ht="13.8">
      <c r="A1" s="336" t="s">
        <v>869</v>
      </c>
      <c r="B1" s="338" t="str">
        <f>Info!C2</f>
        <v>კრისტალი</v>
      </c>
    </row>
    <row r="2" spans="1:4" ht="13.8">
      <c r="A2" s="336" t="s">
        <v>88</v>
      </c>
      <c r="B2" s="337">
        <f>'1. key ratios'!B2</f>
        <v>46112</v>
      </c>
    </row>
    <row r="3" spans="1:4">
      <c r="A3" s="50" t="s">
        <v>476</v>
      </c>
    </row>
    <row r="4" spans="1:4">
      <c r="A4" s="50"/>
    </row>
    <row r="5" spans="1:4" ht="15" customHeight="1">
      <c r="A5" s="853" t="s">
        <v>477</v>
      </c>
      <c r="B5" s="854"/>
      <c r="C5" s="857" t="s">
        <v>478</v>
      </c>
      <c r="D5" s="857" t="s">
        <v>479</v>
      </c>
    </row>
    <row r="6" spans="1:4">
      <c r="A6" s="855"/>
      <c r="B6" s="856"/>
      <c r="C6" s="857"/>
      <c r="D6" s="857"/>
    </row>
    <row r="7" spans="1:4">
      <c r="A7" s="66">
        <v>1</v>
      </c>
      <c r="B7" s="66" t="s">
        <v>480</v>
      </c>
      <c r="C7" s="472">
        <v>20006944.639271881</v>
      </c>
      <c r="D7" s="77"/>
    </row>
    <row r="8" spans="1:4">
      <c r="A8" s="65">
        <v>2</v>
      </c>
      <c r="B8" s="65" t="s">
        <v>481</v>
      </c>
      <c r="C8" s="471">
        <v>8756586.8699999992</v>
      </c>
      <c r="D8" s="77"/>
    </row>
    <row r="9" spans="1:4">
      <c r="A9" s="65">
        <v>3</v>
      </c>
      <c r="B9" s="80" t="s">
        <v>482</v>
      </c>
      <c r="C9" s="471">
        <v>0</v>
      </c>
      <c r="D9" s="77"/>
    </row>
    <row r="10" spans="1:4">
      <c r="A10" s="65">
        <v>4</v>
      </c>
      <c r="B10" s="65" t="s">
        <v>483</v>
      </c>
      <c r="C10" s="758">
        <f>SUM(C11:C17)</f>
        <v>7282257.8823851617</v>
      </c>
      <c r="D10" s="77"/>
    </row>
    <row r="11" spans="1:4">
      <c r="A11" s="65">
        <v>5</v>
      </c>
      <c r="B11" s="79" t="s">
        <v>792</v>
      </c>
      <c r="C11" s="471">
        <v>320871.26238516136</v>
      </c>
      <c r="D11" s="77"/>
    </row>
    <row r="12" spans="1:4">
      <c r="A12" s="65">
        <v>6</v>
      </c>
      <c r="B12" s="79" t="s">
        <v>484</v>
      </c>
      <c r="C12" s="471">
        <v>795299.48</v>
      </c>
      <c r="D12" s="77"/>
    </row>
    <row r="13" spans="1:4">
      <c r="A13" s="65">
        <v>7</v>
      </c>
      <c r="B13" s="79" t="s">
        <v>487</v>
      </c>
      <c r="C13" s="471">
        <v>3800736.35</v>
      </c>
      <c r="D13" s="77"/>
    </row>
    <row r="14" spans="1:4">
      <c r="A14" s="65">
        <v>8</v>
      </c>
      <c r="B14" s="79" t="s">
        <v>485</v>
      </c>
      <c r="C14" s="471">
        <v>0</v>
      </c>
      <c r="D14" s="65"/>
    </row>
    <row r="15" spans="1:4">
      <c r="A15" s="65">
        <v>9</v>
      </c>
      <c r="B15" s="79" t="s">
        <v>486</v>
      </c>
      <c r="C15" s="471">
        <v>2365350.79</v>
      </c>
      <c r="D15" s="65"/>
    </row>
    <row r="16" spans="1:4">
      <c r="A16" s="65">
        <v>10</v>
      </c>
      <c r="B16" s="79" t="s">
        <v>488</v>
      </c>
      <c r="C16" s="471">
        <v>0</v>
      </c>
      <c r="D16" s="65"/>
    </row>
    <row r="17" spans="1:4">
      <c r="A17" s="65">
        <v>11</v>
      </c>
      <c r="B17" s="79" t="s">
        <v>489</v>
      </c>
      <c r="C17" s="471">
        <v>0</v>
      </c>
      <c r="D17" s="77"/>
    </row>
    <row r="18" spans="1:4">
      <c r="A18" s="66">
        <v>12</v>
      </c>
      <c r="B18" s="78" t="s">
        <v>490</v>
      </c>
      <c r="C18" s="472">
        <f>C7+C8+C9-C10</f>
        <v>21481273.626886722</v>
      </c>
      <c r="D18" s="77"/>
    </row>
    <row r="19" spans="1:4">
      <c r="C19" s="700"/>
    </row>
    <row r="21" spans="1:4">
      <c r="B21" s="48"/>
      <c r="C21" s="743"/>
    </row>
    <row r="22" spans="1:4">
      <c r="B22" s="48"/>
      <c r="C22" s="743"/>
    </row>
    <row r="23" spans="1:4">
      <c r="B23" s="50"/>
      <c r="C23" s="743"/>
    </row>
    <row r="26" spans="1:4" ht="14.4">
      <c r="B26" s="742"/>
    </row>
  </sheetData>
  <mergeCells count="3">
    <mergeCell ref="A5:B6"/>
    <mergeCell ref="C5:C6"/>
    <mergeCell ref="D5:D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30"/>
  <sheetViews>
    <sheetView showGridLines="0" zoomScale="80" zoomScaleNormal="80" workbookViewId="0">
      <pane xSplit="2" ySplit="7" topLeftCell="C8" activePane="bottomRight" state="frozen"/>
      <selection activeCell="C24" sqref="C24"/>
      <selection pane="topRight" activeCell="C24" sqref="C24"/>
      <selection pane="bottomLeft" activeCell="C24" sqref="C24"/>
      <selection pane="bottomRight" activeCell="D37" sqref="D37"/>
    </sheetView>
  </sheetViews>
  <sheetFormatPr defaultColWidth="9.21875" defaultRowHeight="12"/>
  <cols>
    <col min="1" max="1" width="11.77734375" style="497" bestFit="1" customWidth="1"/>
    <col min="2" max="2" width="63.88671875" style="497" customWidth="1"/>
    <col min="3" max="3" width="15.5546875" style="497" customWidth="1"/>
    <col min="4" max="18" width="22.21875" style="497" customWidth="1"/>
    <col min="19" max="19" width="23.21875" style="497" bestFit="1" customWidth="1"/>
    <col min="20" max="26" width="22.21875" style="497" customWidth="1"/>
    <col min="27" max="27" width="23.21875" style="497" bestFit="1" customWidth="1"/>
    <col min="28" max="28" width="20" style="497" customWidth="1"/>
    <col min="29" max="16384" width="9.21875" style="497"/>
  </cols>
  <sheetData>
    <row r="1" spans="1:28" ht="13.8">
      <c r="A1" s="336" t="s">
        <v>869</v>
      </c>
      <c r="B1" s="338" t="str">
        <f>Info!C2</f>
        <v>კრისტალი</v>
      </c>
    </row>
    <row r="2" spans="1:28" ht="13.8">
      <c r="A2" s="336" t="s">
        <v>88</v>
      </c>
      <c r="B2" s="337">
        <f>'1. key ratios'!B2</f>
        <v>46112</v>
      </c>
      <c r="C2" s="127"/>
    </row>
    <row r="3" spans="1:28">
      <c r="A3" s="498" t="s">
        <v>491</v>
      </c>
    </row>
    <row r="5" spans="1:28" ht="15" customHeight="1">
      <c r="A5" s="858" t="s">
        <v>805</v>
      </c>
      <c r="B5" s="859"/>
      <c r="C5" s="850" t="s">
        <v>804</v>
      </c>
      <c r="D5" s="864"/>
      <c r="E5" s="864"/>
      <c r="F5" s="864"/>
      <c r="G5" s="864"/>
      <c r="H5" s="864"/>
      <c r="I5" s="864"/>
      <c r="J5" s="864"/>
      <c r="K5" s="864"/>
      <c r="L5" s="864"/>
      <c r="M5" s="864"/>
      <c r="N5" s="864"/>
      <c r="O5" s="864"/>
      <c r="P5" s="864"/>
      <c r="Q5" s="864"/>
      <c r="R5" s="864"/>
      <c r="S5" s="864"/>
      <c r="T5" s="87"/>
      <c r="U5" s="87"/>
      <c r="V5" s="87"/>
      <c r="W5" s="87"/>
      <c r="X5" s="87"/>
      <c r="Y5" s="87"/>
      <c r="Z5" s="87"/>
      <c r="AA5" s="86"/>
      <c r="AB5" s="81"/>
    </row>
    <row r="6" spans="1:28">
      <c r="A6" s="860"/>
      <c r="B6" s="861"/>
      <c r="C6" s="865" t="s">
        <v>59</v>
      </c>
      <c r="D6" s="867" t="s">
        <v>803</v>
      </c>
      <c r="E6" s="867"/>
      <c r="F6" s="867"/>
      <c r="G6" s="867"/>
      <c r="H6" s="868" t="s">
        <v>802</v>
      </c>
      <c r="I6" s="869"/>
      <c r="J6" s="869"/>
      <c r="K6" s="870"/>
      <c r="L6" s="84"/>
      <c r="M6" s="871" t="s">
        <v>801</v>
      </c>
      <c r="N6" s="871"/>
      <c r="O6" s="871"/>
      <c r="P6" s="871"/>
      <c r="Q6" s="871"/>
      <c r="R6" s="871"/>
      <c r="S6" s="844"/>
      <c r="T6" s="85"/>
      <c r="U6" s="851" t="s">
        <v>800</v>
      </c>
      <c r="V6" s="851"/>
      <c r="W6" s="851"/>
      <c r="X6" s="851"/>
      <c r="Y6" s="851"/>
      <c r="Z6" s="851"/>
      <c r="AA6" s="849"/>
      <c r="AB6" s="84"/>
    </row>
    <row r="7" spans="1:28" ht="24">
      <c r="A7" s="862"/>
      <c r="B7" s="863"/>
      <c r="C7" s="866"/>
      <c r="D7" s="499"/>
      <c r="E7" s="67" t="s">
        <v>492</v>
      </c>
      <c r="F7" s="67" t="s">
        <v>798</v>
      </c>
      <c r="G7" s="67" t="s">
        <v>799</v>
      </c>
      <c r="H7" s="500"/>
      <c r="I7" s="67" t="s">
        <v>492</v>
      </c>
      <c r="J7" s="67" t="s">
        <v>798</v>
      </c>
      <c r="K7" s="67" t="s">
        <v>799</v>
      </c>
      <c r="L7" s="83"/>
      <c r="M7" s="67" t="s">
        <v>492</v>
      </c>
      <c r="N7" s="67" t="s">
        <v>798</v>
      </c>
      <c r="O7" s="67" t="s">
        <v>797</v>
      </c>
      <c r="P7" s="67" t="s">
        <v>796</v>
      </c>
      <c r="Q7" s="67" t="s">
        <v>795</v>
      </c>
      <c r="R7" s="67" t="s">
        <v>794</v>
      </c>
      <c r="S7" s="67" t="s">
        <v>793</v>
      </c>
      <c r="T7" s="82"/>
      <c r="U7" s="67" t="s">
        <v>492</v>
      </c>
      <c r="V7" s="67" t="s">
        <v>798</v>
      </c>
      <c r="W7" s="67" t="s">
        <v>797</v>
      </c>
      <c r="X7" s="67" t="s">
        <v>796</v>
      </c>
      <c r="Y7" s="67" t="s">
        <v>795</v>
      </c>
      <c r="Z7" s="67" t="s">
        <v>794</v>
      </c>
      <c r="AA7" s="67" t="s">
        <v>793</v>
      </c>
      <c r="AB7" s="81"/>
    </row>
    <row r="8" spans="1:28">
      <c r="A8" s="69">
        <v>1</v>
      </c>
      <c r="B8" s="501" t="s">
        <v>493</v>
      </c>
      <c r="C8" s="502">
        <f>SUM(C9:C14)</f>
        <v>579622653.20311058</v>
      </c>
      <c r="D8" s="502">
        <f>SUM(D9:D14)</f>
        <v>527370205.20292479</v>
      </c>
      <c r="E8" s="502">
        <f t="shared" ref="E8" si="0">SUM(E9:E14)</f>
        <v>1456103.8326993838</v>
      </c>
      <c r="F8" s="502">
        <f t="shared" ref="F8" si="1">SUM(F9:F14)</f>
        <v>0</v>
      </c>
      <c r="G8" s="502">
        <f t="shared" ref="G8" si="2">SUM(G9:G14)</f>
        <v>0</v>
      </c>
      <c r="H8" s="502">
        <f t="shared" ref="H8" si="3">SUM(H9:H14)</f>
        <v>30771174.37329907</v>
      </c>
      <c r="I8" s="502">
        <f t="shared" ref="I8" si="4">SUM(I9:I14)</f>
        <v>4575478.9106059065</v>
      </c>
      <c r="J8" s="502">
        <f t="shared" ref="J8" si="5">SUM(J9:J14)</f>
        <v>3545224.4993428541</v>
      </c>
      <c r="K8" s="502">
        <f t="shared" ref="K8" si="6">SUM(K9:K14)</f>
        <v>0</v>
      </c>
      <c r="L8" s="502">
        <f t="shared" ref="L8" si="7">SUM(L9:L14)</f>
        <v>21481273.626886696</v>
      </c>
      <c r="M8" s="502">
        <f t="shared" ref="M8" si="8">SUM(M9:M14)</f>
        <v>2134603.6813082225</v>
      </c>
      <c r="N8" s="502">
        <f t="shared" ref="N8" si="9">SUM(N9:N14)</f>
        <v>4452009.1312999371</v>
      </c>
      <c r="O8" s="502">
        <f t="shared" ref="O8" si="10">SUM(O9:O14)</f>
        <v>8742488.5846657716</v>
      </c>
      <c r="P8" s="502">
        <f t="shared" ref="P8" si="11">SUM(P9:P14)</f>
        <v>0</v>
      </c>
      <c r="Q8" s="502">
        <f t="shared" ref="Q8" si="12">SUM(Q9:Q14)</f>
        <v>0</v>
      </c>
      <c r="R8" s="502">
        <f t="shared" ref="R8" si="13">SUM(R9:R14)</f>
        <v>0</v>
      </c>
      <c r="S8" s="502">
        <f t="shared" ref="S8" si="14">SUM(S9:S14)</f>
        <v>0</v>
      </c>
      <c r="T8" s="502">
        <f t="shared" ref="T8" si="15">SUM(T9:T14)</f>
        <v>0</v>
      </c>
      <c r="U8" s="502">
        <f t="shared" ref="U8" si="16">SUM(U9:U14)</f>
        <v>0</v>
      </c>
      <c r="V8" s="502">
        <f t="shared" ref="V8" si="17">SUM(V9:V14)</f>
        <v>0</v>
      </c>
      <c r="W8" s="502">
        <f t="shared" ref="W8" si="18">SUM(W9:W14)</f>
        <v>0</v>
      </c>
      <c r="X8" s="502">
        <f t="shared" ref="X8" si="19">SUM(X9:X14)</f>
        <v>0</v>
      </c>
      <c r="Y8" s="502">
        <f t="shared" ref="Y8" si="20">SUM(Y9:Y14)</f>
        <v>0</v>
      </c>
      <c r="Z8" s="502">
        <f t="shared" ref="Z8" si="21">SUM(Z9:Z14)</f>
        <v>0</v>
      </c>
      <c r="AA8" s="502">
        <f t="shared" ref="AA8" si="22">SUM(AA9:AA14)</f>
        <v>0</v>
      </c>
    </row>
    <row r="9" spans="1:28">
      <c r="A9" s="503">
        <v>1.1000000000000001</v>
      </c>
      <c r="B9" s="504" t="s">
        <v>494</v>
      </c>
      <c r="C9" s="505">
        <f>SUM(D9,H9,L9,T9)</f>
        <v>0</v>
      </c>
      <c r="D9" s="506">
        <v>0</v>
      </c>
      <c r="E9" s="506">
        <v>0</v>
      </c>
      <c r="F9" s="506">
        <v>0</v>
      </c>
      <c r="G9" s="506">
        <v>0</v>
      </c>
      <c r="H9" s="506">
        <v>0</v>
      </c>
      <c r="I9" s="506">
        <v>0</v>
      </c>
      <c r="J9" s="506">
        <v>0</v>
      </c>
      <c r="K9" s="506">
        <v>0</v>
      </c>
      <c r="L9" s="506">
        <v>0</v>
      </c>
      <c r="M9" s="506">
        <v>0</v>
      </c>
      <c r="N9" s="506">
        <v>0</v>
      </c>
      <c r="O9" s="506">
        <v>0</v>
      </c>
      <c r="P9" s="506">
        <v>0</v>
      </c>
      <c r="Q9" s="506">
        <v>0</v>
      </c>
      <c r="R9" s="506">
        <v>0</v>
      </c>
      <c r="S9" s="506">
        <v>0</v>
      </c>
      <c r="T9" s="506">
        <v>0</v>
      </c>
      <c r="U9" s="506">
        <v>0</v>
      </c>
      <c r="V9" s="506">
        <v>0</v>
      </c>
      <c r="W9" s="506">
        <v>0</v>
      </c>
      <c r="X9" s="506">
        <v>0</v>
      </c>
      <c r="Y9" s="506">
        <v>0</v>
      </c>
      <c r="Z9" s="506">
        <v>0</v>
      </c>
      <c r="AA9" s="506">
        <v>0</v>
      </c>
    </row>
    <row r="10" spans="1:28">
      <c r="A10" s="503">
        <v>1.2</v>
      </c>
      <c r="B10" s="504" t="s">
        <v>495</v>
      </c>
      <c r="C10" s="505">
        <f t="shared" ref="C10:C14" si="23">SUM(D10,H10,L10,T10)</f>
        <v>0</v>
      </c>
      <c r="D10" s="506">
        <v>0</v>
      </c>
      <c r="E10" s="506">
        <v>0</v>
      </c>
      <c r="F10" s="506">
        <v>0</v>
      </c>
      <c r="G10" s="506">
        <v>0</v>
      </c>
      <c r="H10" s="506">
        <v>0</v>
      </c>
      <c r="I10" s="506">
        <v>0</v>
      </c>
      <c r="J10" s="506">
        <v>0</v>
      </c>
      <c r="K10" s="506">
        <v>0</v>
      </c>
      <c r="L10" s="506">
        <v>0</v>
      </c>
      <c r="M10" s="506">
        <v>0</v>
      </c>
      <c r="N10" s="506">
        <v>0</v>
      </c>
      <c r="O10" s="506">
        <v>0</v>
      </c>
      <c r="P10" s="506">
        <v>0</v>
      </c>
      <c r="Q10" s="506">
        <v>0</v>
      </c>
      <c r="R10" s="506">
        <v>0</v>
      </c>
      <c r="S10" s="506">
        <v>0</v>
      </c>
      <c r="T10" s="506">
        <v>0</v>
      </c>
      <c r="U10" s="506">
        <v>0</v>
      </c>
      <c r="V10" s="506">
        <v>0</v>
      </c>
      <c r="W10" s="506">
        <v>0</v>
      </c>
      <c r="X10" s="506">
        <v>0</v>
      </c>
      <c r="Y10" s="506">
        <v>0</v>
      </c>
      <c r="Z10" s="506">
        <v>0</v>
      </c>
      <c r="AA10" s="506">
        <v>0</v>
      </c>
    </row>
    <row r="11" spans="1:28">
      <c r="A11" s="503">
        <v>1.3</v>
      </c>
      <c r="B11" s="504" t="s">
        <v>496</v>
      </c>
      <c r="C11" s="505">
        <f t="shared" si="23"/>
        <v>0</v>
      </c>
      <c r="D11" s="506">
        <v>0</v>
      </c>
      <c r="E11" s="506">
        <v>0</v>
      </c>
      <c r="F11" s="506">
        <v>0</v>
      </c>
      <c r="G11" s="506">
        <v>0</v>
      </c>
      <c r="H11" s="506">
        <v>0</v>
      </c>
      <c r="I11" s="506">
        <v>0</v>
      </c>
      <c r="J11" s="506">
        <v>0</v>
      </c>
      <c r="K11" s="506">
        <v>0</v>
      </c>
      <c r="L11" s="506">
        <v>0</v>
      </c>
      <c r="M11" s="506">
        <v>0</v>
      </c>
      <c r="N11" s="506">
        <v>0</v>
      </c>
      <c r="O11" s="506">
        <v>0</v>
      </c>
      <c r="P11" s="506">
        <v>0</v>
      </c>
      <c r="Q11" s="506">
        <v>0</v>
      </c>
      <c r="R11" s="506">
        <v>0</v>
      </c>
      <c r="S11" s="506">
        <v>0</v>
      </c>
      <c r="T11" s="506">
        <v>0</v>
      </c>
      <c r="U11" s="506">
        <v>0</v>
      </c>
      <c r="V11" s="506">
        <v>0</v>
      </c>
      <c r="W11" s="506">
        <v>0</v>
      </c>
      <c r="X11" s="506">
        <v>0</v>
      </c>
      <c r="Y11" s="506">
        <v>0</v>
      </c>
      <c r="Z11" s="506">
        <v>0</v>
      </c>
      <c r="AA11" s="506">
        <v>0</v>
      </c>
    </row>
    <row r="12" spans="1:28">
      <c r="A12" s="503">
        <v>1.4</v>
      </c>
      <c r="B12" s="504" t="s">
        <v>497</v>
      </c>
      <c r="C12" s="505">
        <f t="shared" si="23"/>
        <v>0</v>
      </c>
      <c r="D12" s="506">
        <v>0</v>
      </c>
      <c r="E12" s="506">
        <v>0</v>
      </c>
      <c r="F12" s="506">
        <v>0</v>
      </c>
      <c r="G12" s="506">
        <v>0</v>
      </c>
      <c r="H12" s="506">
        <v>0</v>
      </c>
      <c r="I12" s="506">
        <v>0</v>
      </c>
      <c r="J12" s="506">
        <v>0</v>
      </c>
      <c r="K12" s="506">
        <v>0</v>
      </c>
      <c r="L12" s="506">
        <v>0</v>
      </c>
      <c r="M12" s="506">
        <v>0</v>
      </c>
      <c r="N12" s="506">
        <v>0</v>
      </c>
      <c r="O12" s="506">
        <v>0</v>
      </c>
      <c r="P12" s="506">
        <v>0</v>
      </c>
      <c r="Q12" s="506">
        <v>0</v>
      </c>
      <c r="R12" s="506">
        <v>0</v>
      </c>
      <c r="S12" s="506">
        <v>0</v>
      </c>
      <c r="T12" s="506">
        <v>0</v>
      </c>
      <c r="U12" s="506">
        <v>0</v>
      </c>
      <c r="V12" s="506">
        <v>0</v>
      </c>
      <c r="W12" s="506">
        <v>0</v>
      </c>
      <c r="X12" s="506">
        <v>0</v>
      </c>
      <c r="Y12" s="506">
        <v>0</v>
      </c>
      <c r="Z12" s="506">
        <v>0</v>
      </c>
      <c r="AA12" s="506">
        <v>0</v>
      </c>
    </row>
    <row r="13" spans="1:28">
      <c r="A13" s="503">
        <v>1.5</v>
      </c>
      <c r="B13" s="504" t="s">
        <v>498</v>
      </c>
      <c r="C13" s="505">
        <f t="shared" si="23"/>
        <v>0</v>
      </c>
      <c r="D13" s="506">
        <v>0</v>
      </c>
      <c r="E13" s="506">
        <v>0</v>
      </c>
      <c r="F13" s="506">
        <v>0</v>
      </c>
      <c r="G13" s="506">
        <v>0</v>
      </c>
      <c r="H13" s="506">
        <v>0</v>
      </c>
      <c r="I13" s="506">
        <v>0</v>
      </c>
      <c r="J13" s="506">
        <v>0</v>
      </c>
      <c r="K13" s="506">
        <v>0</v>
      </c>
      <c r="L13" s="506">
        <v>0</v>
      </c>
      <c r="M13" s="506">
        <v>0</v>
      </c>
      <c r="N13" s="506">
        <v>0</v>
      </c>
      <c r="O13" s="506">
        <v>0</v>
      </c>
      <c r="P13" s="506">
        <v>0</v>
      </c>
      <c r="Q13" s="506">
        <v>0</v>
      </c>
      <c r="R13" s="506">
        <v>0</v>
      </c>
      <c r="S13" s="506">
        <v>0</v>
      </c>
      <c r="T13" s="506">
        <v>0</v>
      </c>
      <c r="U13" s="506">
        <v>0</v>
      </c>
      <c r="V13" s="506">
        <v>0</v>
      </c>
      <c r="W13" s="506">
        <v>0</v>
      </c>
      <c r="X13" s="506">
        <v>0</v>
      </c>
      <c r="Y13" s="506">
        <v>0</v>
      </c>
      <c r="Z13" s="506">
        <v>0</v>
      </c>
      <c r="AA13" s="506">
        <v>0</v>
      </c>
    </row>
    <row r="14" spans="1:28">
      <c r="A14" s="503">
        <v>1.6</v>
      </c>
      <c r="B14" s="504" t="s">
        <v>499</v>
      </c>
      <c r="C14" s="505">
        <f t="shared" si="23"/>
        <v>579622653.20311058</v>
      </c>
      <c r="D14" s="688">
        <v>527370205.20292479</v>
      </c>
      <c r="E14" s="506">
        <v>1456103.8326993838</v>
      </c>
      <c r="F14" s="506">
        <v>0</v>
      </c>
      <c r="G14" s="506">
        <v>0</v>
      </c>
      <c r="H14" s="506">
        <v>30771174.37329907</v>
      </c>
      <c r="I14" s="506">
        <v>4575478.9106059065</v>
      </c>
      <c r="J14" s="506">
        <v>3545224.4993428541</v>
      </c>
      <c r="K14" s="506">
        <v>0</v>
      </c>
      <c r="L14" s="506">
        <v>21481273.626886696</v>
      </c>
      <c r="M14" s="506">
        <v>2134603.6813082225</v>
      </c>
      <c r="N14" s="506">
        <v>4452009.1312999371</v>
      </c>
      <c r="O14" s="506">
        <v>8742488.5846657716</v>
      </c>
      <c r="P14" s="506">
        <v>0</v>
      </c>
      <c r="Q14" s="506">
        <v>0</v>
      </c>
      <c r="R14" s="506">
        <v>0</v>
      </c>
      <c r="S14" s="506">
        <v>0</v>
      </c>
      <c r="T14" s="506">
        <v>0</v>
      </c>
      <c r="U14" s="506">
        <v>0</v>
      </c>
      <c r="V14" s="506">
        <v>0</v>
      </c>
      <c r="W14" s="506">
        <v>0</v>
      </c>
      <c r="X14" s="506">
        <v>0</v>
      </c>
      <c r="Y14" s="506">
        <v>0</v>
      </c>
      <c r="Z14" s="506">
        <v>0</v>
      </c>
      <c r="AA14" s="506">
        <v>0</v>
      </c>
    </row>
    <row r="15" spans="1:28">
      <c r="A15" s="69">
        <v>2</v>
      </c>
      <c r="B15" s="501" t="s">
        <v>500</v>
      </c>
      <c r="C15" s="502">
        <f>SUM(C16:C21)</f>
        <v>0</v>
      </c>
      <c r="D15" s="502">
        <f>SUM(D16:D21)</f>
        <v>0</v>
      </c>
      <c r="E15" s="502">
        <f t="shared" ref="E15:AA15" si="24">SUM(E16:E21)</f>
        <v>0</v>
      </c>
      <c r="F15" s="502">
        <f t="shared" si="24"/>
        <v>0</v>
      </c>
      <c r="G15" s="502">
        <f t="shared" si="24"/>
        <v>0</v>
      </c>
      <c r="H15" s="502">
        <f t="shared" si="24"/>
        <v>0</v>
      </c>
      <c r="I15" s="502">
        <f t="shared" si="24"/>
        <v>0</v>
      </c>
      <c r="J15" s="502">
        <f t="shared" si="24"/>
        <v>0</v>
      </c>
      <c r="K15" s="502">
        <f t="shared" si="24"/>
        <v>0</v>
      </c>
      <c r="L15" s="502">
        <f t="shared" si="24"/>
        <v>0</v>
      </c>
      <c r="M15" s="502">
        <f t="shared" si="24"/>
        <v>0</v>
      </c>
      <c r="N15" s="502">
        <f t="shared" si="24"/>
        <v>0</v>
      </c>
      <c r="O15" s="502">
        <f t="shared" si="24"/>
        <v>0</v>
      </c>
      <c r="P15" s="502">
        <f t="shared" si="24"/>
        <v>0</v>
      </c>
      <c r="Q15" s="502">
        <f t="shared" si="24"/>
        <v>0</v>
      </c>
      <c r="R15" s="502">
        <f t="shared" si="24"/>
        <v>0</v>
      </c>
      <c r="S15" s="502">
        <f t="shared" si="24"/>
        <v>0</v>
      </c>
      <c r="T15" s="502">
        <f t="shared" si="24"/>
        <v>0</v>
      </c>
      <c r="U15" s="502">
        <f t="shared" si="24"/>
        <v>0</v>
      </c>
      <c r="V15" s="502">
        <f t="shared" si="24"/>
        <v>0</v>
      </c>
      <c r="W15" s="502">
        <f t="shared" si="24"/>
        <v>0</v>
      </c>
      <c r="X15" s="502">
        <f t="shared" si="24"/>
        <v>0</v>
      </c>
      <c r="Y15" s="502">
        <f t="shared" si="24"/>
        <v>0</v>
      </c>
      <c r="Z15" s="502">
        <f t="shared" si="24"/>
        <v>0</v>
      </c>
      <c r="AA15" s="502">
        <f t="shared" si="24"/>
        <v>0</v>
      </c>
    </row>
    <row r="16" spans="1:28">
      <c r="A16" s="503">
        <v>2.1</v>
      </c>
      <c r="B16" s="504" t="s">
        <v>494</v>
      </c>
      <c r="C16" s="505">
        <f>SUM(D16,H16,L16,T16)</f>
        <v>0</v>
      </c>
      <c r="D16" s="506">
        <v>0</v>
      </c>
      <c r="E16" s="506">
        <v>0</v>
      </c>
      <c r="F16" s="506">
        <v>0</v>
      </c>
      <c r="G16" s="506">
        <v>0</v>
      </c>
      <c r="H16" s="506">
        <v>0</v>
      </c>
      <c r="I16" s="506">
        <v>0</v>
      </c>
      <c r="J16" s="506">
        <v>0</v>
      </c>
      <c r="K16" s="506">
        <v>0</v>
      </c>
      <c r="L16" s="506">
        <v>0</v>
      </c>
      <c r="M16" s="506">
        <v>0</v>
      </c>
      <c r="N16" s="506">
        <v>0</v>
      </c>
      <c r="O16" s="506">
        <v>0</v>
      </c>
      <c r="P16" s="506">
        <v>0</v>
      </c>
      <c r="Q16" s="506">
        <v>0</v>
      </c>
      <c r="R16" s="506">
        <v>0</v>
      </c>
      <c r="S16" s="506">
        <v>0</v>
      </c>
      <c r="T16" s="506">
        <v>0</v>
      </c>
      <c r="U16" s="506">
        <v>0</v>
      </c>
      <c r="V16" s="506">
        <v>0</v>
      </c>
      <c r="W16" s="506">
        <v>0</v>
      </c>
      <c r="X16" s="506">
        <v>0</v>
      </c>
      <c r="Y16" s="506">
        <v>0</v>
      </c>
      <c r="Z16" s="506">
        <v>0</v>
      </c>
      <c r="AA16" s="506">
        <v>0</v>
      </c>
    </row>
    <row r="17" spans="1:27">
      <c r="A17" s="503">
        <v>2.2000000000000002</v>
      </c>
      <c r="B17" s="504" t="s">
        <v>495</v>
      </c>
      <c r="C17" s="505">
        <f t="shared" ref="C17:C21" si="25">SUM(D17,H17,L17,T17)</f>
        <v>0</v>
      </c>
      <c r="D17" s="506">
        <v>0</v>
      </c>
      <c r="E17" s="506">
        <v>0</v>
      </c>
      <c r="F17" s="506">
        <v>0</v>
      </c>
      <c r="G17" s="506">
        <v>0</v>
      </c>
      <c r="H17" s="506">
        <v>0</v>
      </c>
      <c r="I17" s="506">
        <v>0</v>
      </c>
      <c r="J17" s="506">
        <v>0</v>
      </c>
      <c r="K17" s="506">
        <v>0</v>
      </c>
      <c r="L17" s="506">
        <v>0</v>
      </c>
      <c r="M17" s="506">
        <v>0</v>
      </c>
      <c r="N17" s="506">
        <v>0</v>
      </c>
      <c r="O17" s="506">
        <v>0</v>
      </c>
      <c r="P17" s="506">
        <v>0</v>
      </c>
      <c r="Q17" s="506">
        <v>0</v>
      </c>
      <c r="R17" s="506">
        <v>0</v>
      </c>
      <c r="S17" s="506">
        <v>0</v>
      </c>
      <c r="T17" s="506">
        <v>0</v>
      </c>
      <c r="U17" s="506">
        <v>0</v>
      </c>
      <c r="V17" s="506">
        <v>0</v>
      </c>
      <c r="W17" s="506">
        <v>0</v>
      </c>
      <c r="X17" s="506">
        <v>0</v>
      </c>
      <c r="Y17" s="506">
        <v>0</v>
      </c>
      <c r="Z17" s="506">
        <v>0</v>
      </c>
      <c r="AA17" s="506">
        <v>0</v>
      </c>
    </row>
    <row r="18" spans="1:27">
      <c r="A18" s="503">
        <v>2.2999999999999998</v>
      </c>
      <c r="B18" s="504" t="s">
        <v>496</v>
      </c>
      <c r="C18" s="505">
        <f t="shared" si="25"/>
        <v>0</v>
      </c>
      <c r="D18" s="506">
        <v>0</v>
      </c>
      <c r="E18" s="506">
        <v>0</v>
      </c>
      <c r="F18" s="506">
        <v>0</v>
      </c>
      <c r="G18" s="506">
        <v>0</v>
      </c>
      <c r="H18" s="506">
        <v>0</v>
      </c>
      <c r="I18" s="506">
        <v>0</v>
      </c>
      <c r="J18" s="506">
        <v>0</v>
      </c>
      <c r="K18" s="506">
        <v>0</v>
      </c>
      <c r="L18" s="506">
        <v>0</v>
      </c>
      <c r="M18" s="506">
        <v>0</v>
      </c>
      <c r="N18" s="506">
        <v>0</v>
      </c>
      <c r="O18" s="506">
        <v>0</v>
      </c>
      <c r="P18" s="506">
        <v>0</v>
      </c>
      <c r="Q18" s="506">
        <v>0</v>
      </c>
      <c r="R18" s="506">
        <v>0</v>
      </c>
      <c r="S18" s="506">
        <v>0</v>
      </c>
      <c r="T18" s="506">
        <v>0</v>
      </c>
      <c r="U18" s="506">
        <v>0</v>
      </c>
      <c r="V18" s="506">
        <v>0</v>
      </c>
      <c r="W18" s="506">
        <v>0</v>
      </c>
      <c r="X18" s="506">
        <v>0</v>
      </c>
      <c r="Y18" s="506">
        <v>0</v>
      </c>
      <c r="Z18" s="506">
        <v>0</v>
      </c>
      <c r="AA18" s="506">
        <v>0</v>
      </c>
    </row>
    <row r="19" spans="1:27">
      <c r="A19" s="503">
        <v>2.4</v>
      </c>
      <c r="B19" s="504" t="s">
        <v>497</v>
      </c>
      <c r="C19" s="505">
        <f t="shared" si="25"/>
        <v>0</v>
      </c>
      <c r="D19" s="506">
        <v>0</v>
      </c>
      <c r="E19" s="506">
        <v>0</v>
      </c>
      <c r="F19" s="506">
        <v>0</v>
      </c>
      <c r="G19" s="506">
        <v>0</v>
      </c>
      <c r="H19" s="506">
        <v>0</v>
      </c>
      <c r="I19" s="506">
        <v>0</v>
      </c>
      <c r="J19" s="506">
        <v>0</v>
      </c>
      <c r="K19" s="506">
        <v>0</v>
      </c>
      <c r="L19" s="506">
        <v>0</v>
      </c>
      <c r="M19" s="506">
        <v>0</v>
      </c>
      <c r="N19" s="506">
        <v>0</v>
      </c>
      <c r="O19" s="506">
        <v>0</v>
      </c>
      <c r="P19" s="506">
        <v>0</v>
      </c>
      <c r="Q19" s="506">
        <v>0</v>
      </c>
      <c r="R19" s="506">
        <v>0</v>
      </c>
      <c r="S19" s="506">
        <v>0</v>
      </c>
      <c r="T19" s="506">
        <v>0</v>
      </c>
      <c r="U19" s="506">
        <v>0</v>
      </c>
      <c r="V19" s="506">
        <v>0</v>
      </c>
      <c r="W19" s="506">
        <v>0</v>
      </c>
      <c r="X19" s="506">
        <v>0</v>
      </c>
      <c r="Y19" s="506">
        <v>0</v>
      </c>
      <c r="Z19" s="506">
        <v>0</v>
      </c>
      <c r="AA19" s="506">
        <v>0</v>
      </c>
    </row>
    <row r="20" spans="1:27">
      <c r="A20" s="503">
        <v>2.5</v>
      </c>
      <c r="B20" s="504" t="s">
        <v>498</v>
      </c>
      <c r="C20" s="505">
        <f t="shared" si="25"/>
        <v>0</v>
      </c>
      <c r="D20" s="506">
        <v>0</v>
      </c>
      <c r="E20" s="506">
        <v>0</v>
      </c>
      <c r="F20" s="506">
        <v>0</v>
      </c>
      <c r="G20" s="506">
        <v>0</v>
      </c>
      <c r="H20" s="506">
        <v>0</v>
      </c>
      <c r="I20" s="506">
        <v>0</v>
      </c>
      <c r="J20" s="506">
        <v>0</v>
      </c>
      <c r="K20" s="506">
        <v>0</v>
      </c>
      <c r="L20" s="506">
        <v>0</v>
      </c>
      <c r="M20" s="506">
        <v>0</v>
      </c>
      <c r="N20" s="506">
        <v>0</v>
      </c>
      <c r="O20" s="506">
        <v>0</v>
      </c>
      <c r="P20" s="506">
        <v>0</v>
      </c>
      <c r="Q20" s="506">
        <v>0</v>
      </c>
      <c r="R20" s="506">
        <v>0</v>
      </c>
      <c r="S20" s="506">
        <v>0</v>
      </c>
      <c r="T20" s="506">
        <v>0</v>
      </c>
      <c r="U20" s="506">
        <v>0</v>
      </c>
      <c r="V20" s="506">
        <v>0</v>
      </c>
      <c r="W20" s="506">
        <v>0</v>
      </c>
      <c r="X20" s="506">
        <v>0</v>
      </c>
      <c r="Y20" s="506">
        <v>0</v>
      </c>
      <c r="Z20" s="506">
        <v>0</v>
      </c>
      <c r="AA20" s="506">
        <v>0</v>
      </c>
    </row>
    <row r="21" spans="1:27">
      <c r="A21" s="503">
        <v>2.6</v>
      </c>
      <c r="B21" s="504" t="s">
        <v>499</v>
      </c>
      <c r="C21" s="505">
        <f t="shared" si="25"/>
        <v>0</v>
      </c>
      <c r="D21" s="506">
        <v>0</v>
      </c>
      <c r="E21" s="506">
        <v>0</v>
      </c>
      <c r="F21" s="506">
        <v>0</v>
      </c>
      <c r="G21" s="506">
        <v>0</v>
      </c>
      <c r="H21" s="506">
        <v>0</v>
      </c>
      <c r="I21" s="506">
        <v>0</v>
      </c>
      <c r="J21" s="506">
        <v>0</v>
      </c>
      <c r="K21" s="506">
        <v>0</v>
      </c>
      <c r="L21" s="506">
        <v>0</v>
      </c>
      <c r="M21" s="506">
        <v>0</v>
      </c>
      <c r="N21" s="506">
        <v>0</v>
      </c>
      <c r="O21" s="506">
        <v>0</v>
      </c>
      <c r="P21" s="506">
        <v>0</v>
      </c>
      <c r="Q21" s="506">
        <v>0</v>
      </c>
      <c r="R21" s="506">
        <v>0</v>
      </c>
      <c r="S21" s="506">
        <v>0</v>
      </c>
      <c r="T21" s="506">
        <v>0</v>
      </c>
      <c r="U21" s="506">
        <v>0</v>
      </c>
      <c r="V21" s="506">
        <v>0</v>
      </c>
      <c r="W21" s="506">
        <v>0</v>
      </c>
      <c r="X21" s="506">
        <v>0</v>
      </c>
      <c r="Y21" s="506">
        <v>0</v>
      </c>
      <c r="Z21" s="506">
        <v>0</v>
      </c>
      <c r="AA21" s="506">
        <v>0</v>
      </c>
    </row>
    <row r="22" spans="1:27">
      <c r="A22" s="69">
        <v>3</v>
      </c>
      <c r="B22" s="501" t="s">
        <v>501</v>
      </c>
      <c r="C22" s="502">
        <f>SUM(C23:C28)</f>
        <v>0</v>
      </c>
      <c r="D22" s="502">
        <f>SUM(D23:D28)</f>
        <v>0</v>
      </c>
      <c r="E22" s="507"/>
      <c r="F22" s="507"/>
      <c r="G22" s="507"/>
      <c r="H22" s="502">
        <f>SUM(H23:H28)</f>
        <v>0</v>
      </c>
      <c r="I22" s="507"/>
      <c r="J22" s="507"/>
      <c r="K22" s="507"/>
      <c r="L22" s="502">
        <f>SUM(L23:L28)</f>
        <v>0</v>
      </c>
      <c r="M22" s="507"/>
      <c r="N22" s="507"/>
      <c r="O22" s="507"/>
      <c r="P22" s="507"/>
      <c r="Q22" s="507"/>
      <c r="R22" s="507"/>
      <c r="S22" s="507"/>
      <c r="T22" s="502">
        <f>SUM(T23:T28)</f>
        <v>0</v>
      </c>
      <c r="U22" s="507"/>
      <c r="V22" s="507"/>
      <c r="W22" s="507"/>
      <c r="X22" s="507"/>
      <c r="Y22" s="507"/>
      <c r="Z22" s="507"/>
      <c r="AA22" s="507"/>
    </row>
    <row r="23" spans="1:27">
      <c r="A23" s="503">
        <v>3.1</v>
      </c>
      <c r="B23" s="504" t="s">
        <v>494</v>
      </c>
      <c r="C23" s="505">
        <f>SUM(D23,H23,L23,T23)</f>
        <v>0</v>
      </c>
      <c r="D23" s="506">
        <v>0</v>
      </c>
      <c r="E23" s="507"/>
      <c r="F23" s="507"/>
      <c r="G23" s="507"/>
      <c r="H23" s="506">
        <v>0</v>
      </c>
      <c r="I23" s="507"/>
      <c r="J23" s="507"/>
      <c r="K23" s="507"/>
      <c r="L23" s="506">
        <v>0</v>
      </c>
      <c r="M23" s="507"/>
      <c r="N23" s="507"/>
      <c r="O23" s="507"/>
      <c r="P23" s="507"/>
      <c r="Q23" s="507"/>
      <c r="R23" s="507"/>
      <c r="S23" s="507"/>
      <c r="T23" s="506">
        <v>0</v>
      </c>
      <c r="U23" s="507"/>
      <c r="V23" s="507"/>
      <c r="W23" s="507"/>
      <c r="X23" s="507"/>
      <c r="Y23" s="507"/>
      <c r="Z23" s="507"/>
      <c r="AA23" s="507"/>
    </row>
    <row r="24" spans="1:27">
      <c r="A24" s="503">
        <v>3.2</v>
      </c>
      <c r="B24" s="504" t="s">
        <v>495</v>
      </c>
      <c r="C24" s="505">
        <f t="shared" ref="C24:C28" si="26">SUM(D24,H24,L24,T24)</f>
        <v>0</v>
      </c>
      <c r="D24" s="506">
        <v>0</v>
      </c>
      <c r="E24" s="507"/>
      <c r="F24" s="507"/>
      <c r="G24" s="507"/>
      <c r="H24" s="506">
        <v>0</v>
      </c>
      <c r="I24" s="507"/>
      <c r="J24" s="507"/>
      <c r="K24" s="507"/>
      <c r="L24" s="506">
        <v>0</v>
      </c>
      <c r="M24" s="507"/>
      <c r="N24" s="507"/>
      <c r="O24" s="507"/>
      <c r="P24" s="507"/>
      <c r="Q24" s="507"/>
      <c r="R24" s="507"/>
      <c r="S24" s="507"/>
      <c r="T24" s="506">
        <v>0</v>
      </c>
      <c r="U24" s="507"/>
      <c r="V24" s="507"/>
      <c r="W24" s="507"/>
      <c r="X24" s="507"/>
      <c r="Y24" s="507"/>
      <c r="Z24" s="507"/>
      <c r="AA24" s="507"/>
    </row>
    <row r="25" spans="1:27">
      <c r="A25" s="503">
        <v>3.3</v>
      </c>
      <c r="B25" s="504" t="s">
        <v>496</v>
      </c>
      <c r="C25" s="505">
        <f t="shared" si="26"/>
        <v>0</v>
      </c>
      <c r="D25" s="506">
        <v>0</v>
      </c>
      <c r="E25" s="507"/>
      <c r="F25" s="507"/>
      <c r="G25" s="507"/>
      <c r="H25" s="506">
        <v>0</v>
      </c>
      <c r="I25" s="507"/>
      <c r="J25" s="507"/>
      <c r="K25" s="507"/>
      <c r="L25" s="506">
        <v>0</v>
      </c>
      <c r="M25" s="507"/>
      <c r="N25" s="507"/>
      <c r="O25" s="507"/>
      <c r="P25" s="507"/>
      <c r="Q25" s="507"/>
      <c r="R25" s="507"/>
      <c r="S25" s="507"/>
      <c r="T25" s="506">
        <v>0</v>
      </c>
      <c r="U25" s="507"/>
      <c r="V25" s="507"/>
      <c r="W25" s="507"/>
      <c r="X25" s="507"/>
      <c r="Y25" s="507"/>
      <c r="Z25" s="507"/>
      <c r="AA25" s="507"/>
    </row>
    <row r="26" spans="1:27">
      <c r="A26" s="503">
        <v>3.4</v>
      </c>
      <c r="B26" s="504" t="s">
        <v>497</v>
      </c>
      <c r="C26" s="505">
        <f t="shared" si="26"/>
        <v>0</v>
      </c>
      <c r="D26" s="506">
        <v>0</v>
      </c>
      <c r="E26" s="507"/>
      <c r="F26" s="507"/>
      <c r="G26" s="507"/>
      <c r="H26" s="506">
        <v>0</v>
      </c>
      <c r="I26" s="507"/>
      <c r="J26" s="507"/>
      <c r="K26" s="507"/>
      <c r="L26" s="506">
        <v>0</v>
      </c>
      <c r="M26" s="507"/>
      <c r="N26" s="507"/>
      <c r="O26" s="507"/>
      <c r="P26" s="507"/>
      <c r="Q26" s="507"/>
      <c r="R26" s="507"/>
      <c r="S26" s="507"/>
      <c r="T26" s="506">
        <v>0</v>
      </c>
      <c r="U26" s="507"/>
      <c r="V26" s="507"/>
      <c r="W26" s="507"/>
      <c r="X26" s="507"/>
      <c r="Y26" s="507"/>
      <c r="Z26" s="507"/>
      <c r="AA26" s="507"/>
    </row>
    <row r="27" spans="1:27">
      <c r="A27" s="503">
        <v>3.5</v>
      </c>
      <c r="B27" s="504" t="s">
        <v>498</v>
      </c>
      <c r="C27" s="505">
        <f t="shared" si="26"/>
        <v>0</v>
      </c>
      <c r="D27" s="506">
        <v>0</v>
      </c>
      <c r="E27" s="507"/>
      <c r="F27" s="507"/>
      <c r="G27" s="507"/>
      <c r="H27" s="506">
        <v>0</v>
      </c>
      <c r="I27" s="507"/>
      <c r="J27" s="507"/>
      <c r="K27" s="507"/>
      <c r="L27" s="506">
        <v>0</v>
      </c>
      <c r="M27" s="507"/>
      <c r="N27" s="507"/>
      <c r="O27" s="507"/>
      <c r="P27" s="507"/>
      <c r="Q27" s="507"/>
      <c r="R27" s="507"/>
      <c r="S27" s="507"/>
      <c r="T27" s="506">
        <v>0</v>
      </c>
      <c r="U27" s="507"/>
      <c r="V27" s="507"/>
      <c r="W27" s="507"/>
      <c r="X27" s="507"/>
      <c r="Y27" s="507"/>
      <c r="Z27" s="507"/>
      <c r="AA27" s="507"/>
    </row>
    <row r="28" spans="1:27">
      <c r="A28" s="503">
        <v>3.6</v>
      </c>
      <c r="B28" s="504" t="s">
        <v>499</v>
      </c>
      <c r="C28" s="505">
        <f t="shared" si="26"/>
        <v>0</v>
      </c>
      <c r="D28" s="506">
        <v>0</v>
      </c>
      <c r="E28" s="507"/>
      <c r="F28" s="507"/>
      <c r="G28" s="507"/>
      <c r="H28" s="506">
        <v>0</v>
      </c>
      <c r="I28" s="507"/>
      <c r="J28" s="507"/>
      <c r="K28" s="507"/>
      <c r="L28" s="506">
        <v>0</v>
      </c>
      <c r="M28" s="507"/>
      <c r="N28" s="507"/>
      <c r="O28" s="507"/>
      <c r="P28" s="507"/>
      <c r="Q28" s="507"/>
      <c r="R28" s="507"/>
      <c r="S28" s="507"/>
      <c r="T28" s="506">
        <v>0</v>
      </c>
      <c r="U28" s="507"/>
      <c r="V28" s="507"/>
      <c r="W28" s="507"/>
      <c r="X28" s="507"/>
      <c r="Y28" s="507"/>
      <c r="Z28" s="507"/>
      <c r="AA28" s="507"/>
    </row>
    <row r="29" spans="1:27">
      <c r="C29" s="508"/>
    </row>
    <row r="30" spans="1:27">
      <c r="C30" s="690"/>
      <c r="D30" s="509"/>
      <c r="H30" s="509"/>
      <c r="L30" s="509"/>
    </row>
  </sheetData>
  <mergeCells count="7">
    <mergeCell ref="U6:AA6"/>
    <mergeCell ref="A5:B7"/>
    <mergeCell ref="C5:S5"/>
    <mergeCell ref="C6:C7"/>
    <mergeCell ref="D6:G6"/>
    <mergeCell ref="H6:K6"/>
    <mergeCell ref="M6:S6"/>
  </mergeCells>
  <pageMargins left="0.7" right="0.7" top="0.75" bottom="0.75" header="0.3" footer="0.3"/>
  <pageSetup orientation="portrait" r:id="rId1"/>
  <ignoredErrors>
    <ignoredError sqref="C15:C22" formula="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A32"/>
  <sheetViews>
    <sheetView showGridLines="0" zoomScale="90" zoomScaleNormal="90" workbookViewId="0">
      <pane xSplit="2" ySplit="7" topLeftCell="C8" activePane="bottomRight" state="frozen"/>
      <selection activeCell="C24" sqref="C24"/>
      <selection pane="topRight" activeCell="C24" sqref="C24"/>
      <selection pane="bottomLeft" activeCell="C24" sqref="C24"/>
      <selection pane="bottomRight" activeCell="C26" sqref="C26"/>
    </sheetView>
  </sheetViews>
  <sheetFormatPr defaultColWidth="9.21875" defaultRowHeight="13.8"/>
  <cols>
    <col min="1" max="1" width="8.6640625" style="335" customWidth="1"/>
    <col min="2" max="2" width="15.33203125" style="335" customWidth="1"/>
    <col min="3" max="3" width="20.21875" style="335" customWidth="1"/>
    <col min="4" max="4" width="22.21875" style="335" customWidth="1"/>
    <col min="5" max="7" width="17.109375" style="335" customWidth="1"/>
    <col min="8" max="8" width="22.21875" style="335" customWidth="1"/>
    <col min="9" max="10" width="17.109375" style="335" customWidth="1"/>
    <col min="11" max="27" width="22.21875" style="335" customWidth="1"/>
    <col min="28" max="16384" width="9.21875" style="335"/>
  </cols>
  <sheetData>
    <row r="1" spans="1:27">
      <c r="A1" s="336" t="s">
        <v>869</v>
      </c>
      <c r="B1" s="338" t="str">
        <f>Info!C2</f>
        <v>კრისტალი</v>
      </c>
    </row>
    <row r="2" spans="1:27">
      <c r="A2" s="336" t="s">
        <v>88</v>
      </c>
      <c r="B2" s="337">
        <f>'1. key ratios'!B2</f>
        <v>46112</v>
      </c>
    </row>
    <row r="3" spans="1:27">
      <c r="A3" s="532" t="s">
        <v>502</v>
      </c>
      <c r="C3" s="533"/>
    </row>
    <row r="4" spans="1:27" ht="14.4" thickBot="1">
      <c r="A4" s="532"/>
      <c r="B4" s="533"/>
      <c r="C4" s="533"/>
    </row>
    <row r="5" spans="1:27" ht="13.5" customHeight="1">
      <c r="A5" s="877" t="s">
        <v>812</v>
      </c>
      <c r="B5" s="878"/>
      <c r="C5" s="874" t="s">
        <v>503</v>
      </c>
      <c r="D5" s="875"/>
      <c r="E5" s="875"/>
      <c r="F5" s="875"/>
      <c r="G5" s="875"/>
      <c r="H5" s="875"/>
      <c r="I5" s="875"/>
      <c r="J5" s="875"/>
      <c r="K5" s="875"/>
      <c r="L5" s="875"/>
      <c r="M5" s="875"/>
      <c r="N5" s="875"/>
      <c r="O5" s="875"/>
      <c r="P5" s="875"/>
      <c r="Q5" s="875"/>
      <c r="R5" s="875"/>
      <c r="S5" s="875"/>
      <c r="T5" s="875"/>
      <c r="U5" s="875"/>
      <c r="V5" s="875"/>
      <c r="W5" s="875"/>
      <c r="X5" s="875"/>
      <c r="Y5" s="875"/>
      <c r="Z5" s="875"/>
      <c r="AA5" s="876"/>
    </row>
    <row r="6" spans="1:27" ht="12" customHeight="1">
      <c r="A6" s="879"/>
      <c r="B6" s="880"/>
      <c r="C6" s="884" t="s">
        <v>59</v>
      </c>
      <c r="D6" s="883" t="s">
        <v>803</v>
      </c>
      <c r="E6" s="883"/>
      <c r="F6" s="883"/>
      <c r="G6" s="883"/>
      <c r="H6" s="886" t="s">
        <v>802</v>
      </c>
      <c r="I6" s="887"/>
      <c r="J6" s="887"/>
      <c r="K6" s="887"/>
      <c r="L6" s="554"/>
      <c r="M6" s="872" t="s">
        <v>801</v>
      </c>
      <c r="N6" s="872"/>
      <c r="O6" s="872"/>
      <c r="P6" s="872"/>
      <c r="Q6" s="872"/>
      <c r="R6" s="872"/>
      <c r="S6" s="888"/>
      <c r="T6" s="554"/>
      <c r="U6" s="872" t="s">
        <v>800</v>
      </c>
      <c r="V6" s="872"/>
      <c r="W6" s="872"/>
      <c r="X6" s="872"/>
      <c r="Y6" s="872"/>
      <c r="Z6" s="872"/>
      <c r="AA6" s="873"/>
    </row>
    <row r="7" spans="1:27" ht="41.4">
      <c r="A7" s="881"/>
      <c r="B7" s="882"/>
      <c r="C7" s="885"/>
      <c r="D7" s="534"/>
      <c r="E7" s="555" t="s">
        <v>492</v>
      </c>
      <c r="F7" s="555" t="s">
        <v>951</v>
      </c>
      <c r="G7" s="555" t="s">
        <v>799</v>
      </c>
      <c r="H7" s="557"/>
      <c r="I7" s="555" t="s">
        <v>492</v>
      </c>
      <c r="J7" s="555" t="s">
        <v>951</v>
      </c>
      <c r="K7" s="555" t="s">
        <v>799</v>
      </c>
      <c r="L7" s="476"/>
      <c r="M7" s="555" t="s">
        <v>492</v>
      </c>
      <c r="N7" s="555" t="s">
        <v>811</v>
      </c>
      <c r="O7" s="555" t="s">
        <v>810</v>
      </c>
      <c r="P7" s="555" t="s">
        <v>809</v>
      </c>
      <c r="Q7" s="555" t="s">
        <v>808</v>
      </c>
      <c r="R7" s="555" t="s">
        <v>807</v>
      </c>
      <c r="S7" s="555" t="s">
        <v>793</v>
      </c>
      <c r="T7" s="476"/>
      <c r="U7" s="555" t="s">
        <v>492</v>
      </c>
      <c r="V7" s="555" t="s">
        <v>811</v>
      </c>
      <c r="W7" s="555" t="s">
        <v>810</v>
      </c>
      <c r="X7" s="555" t="s">
        <v>809</v>
      </c>
      <c r="Y7" s="555" t="s">
        <v>808</v>
      </c>
      <c r="Z7" s="555" t="s">
        <v>807</v>
      </c>
      <c r="AA7" s="556" t="s">
        <v>793</v>
      </c>
    </row>
    <row r="8" spans="1:27">
      <c r="A8" s="535">
        <v>1</v>
      </c>
      <c r="B8" s="536" t="s">
        <v>493</v>
      </c>
      <c r="C8" s="726">
        <f>SUM(D8,H8,L8,T8)</f>
        <v>579622653.20311058</v>
      </c>
      <c r="D8" s="727">
        <f>'22. Quality'!D8</f>
        <v>527370205.20292479</v>
      </c>
      <c r="E8" s="727">
        <f>'22. Quality'!E8</f>
        <v>1456103.8326993838</v>
      </c>
      <c r="F8" s="727">
        <f>'22. Quality'!F8</f>
        <v>0</v>
      </c>
      <c r="G8" s="727">
        <f>'22. Quality'!G8</f>
        <v>0</v>
      </c>
      <c r="H8" s="727">
        <f>'22. Quality'!H8</f>
        <v>30771174.37329907</v>
      </c>
      <c r="I8" s="727">
        <f>'22. Quality'!I8</f>
        <v>4575478.9106059065</v>
      </c>
      <c r="J8" s="727">
        <f>'22. Quality'!J8</f>
        <v>3545224.4993428541</v>
      </c>
      <c r="K8" s="727">
        <f>'22. Quality'!K8</f>
        <v>0</v>
      </c>
      <c r="L8" s="727">
        <f>'22. Quality'!L8</f>
        <v>21481273.626886696</v>
      </c>
      <c r="M8" s="727">
        <f>'22. Quality'!M8</f>
        <v>2134603.6813082225</v>
      </c>
      <c r="N8" s="727">
        <f>'22. Quality'!N8</f>
        <v>4452009.1312999371</v>
      </c>
      <c r="O8" s="727">
        <f>'22. Quality'!O8</f>
        <v>8742488.5846657716</v>
      </c>
      <c r="P8" s="537">
        <v>0</v>
      </c>
      <c r="Q8" s="537">
        <v>0</v>
      </c>
      <c r="R8" s="537">
        <v>0</v>
      </c>
      <c r="S8" s="537">
        <v>0</v>
      </c>
      <c r="T8" s="537">
        <v>0</v>
      </c>
      <c r="U8" s="537">
        <v>0</v>
      </c>
      <c r="V8" s="537">
        <v>0</v>
      </c>
      <c r="W8" s="537">
        <v>0</v>
      </c>
      <c r="X8" s="537">
        <v>0</v>
      </c>
      <c r="Y8" s="537">
        <v>0</v>
      </c>
      <c r="Z8" s="537">
        <v>0</v>
      </c>
      <c r="AA8" s="538">
        <v>0</v>
      </c>
    </row>
    <row r="9" spans="1:27">
      <c r="A9" s="539">
        <v>1.1000000000000001</v>
      </c>
      <c r="B9" s="540" t="s">
        <v>504</v>
      </c>
      <c r="C9" s="728">
        <f>SUM(D9,H9,L9,T9)</f>
        <v>169316864.24698418</v>
      </c>
      <c r="D9" s="727">
        <v>151289444.69144034</v>
      </c>
      <c r="E9" s="727">
        <v>583687.9759480831</v>
      </c>
      <c r="F9" s="727">
        <v>0</v>
      </c>
      <c r="G9" s="727">
        <v>0</v>
      </c>
      <c r="H9" s="727">
        <v>12711304.521134492</v>
      </c>
      <c r="I9" s="727">
        <v>1678705.8633593707</v>
      </c>
      <c r="J9" s="727">
        <v>777600.64552075951</v>
      </c>
      <c r="K9" s="727">
        <v>0</v>
      </c>
      <c r="L9" s="727">
        <v>5316115.0344093423</v>
      </c>
      <c r="M9" s="727">
        <v>718492.70320405625</v>
      </c>
      <c r="N9" s="727">
        <v>1052352.5717516933</v>
      </c>
      <c r="O9" s="727">
        <v>1445871.9071287897</v>
      </c>
      <c r="P9" s="537">
        <v>0</v>
      </c>
      <c r="Q9" s="537">
        <v>0</v>
      </c>
      <c r="R9" s="537">
        <v>0</v>
      </c>
      <c r="S9" s="537">
        <v>0</v>
      </c>
      <c r="T9" s="537">
        <v>0</v>
      </c>
      <c r="U9" s="537">
        <v>0</v>
      </c>
      <c r="V9" s="537">
        <v>0</v>
      </c>
      <c r="W9" s="537">
        <v>0</v>
      </c>
      <c r="X9" s="537">
        <v>0</v>
      </c>
      <c r="Y9" s="537">
        <v>0</v>
      </c>
      <c r="Z9" s="537">
        <v>0</v>
      </c>
      <c r="AA9" s="538">
        <v>0</v>
      </c>
    </row>
    <row r="10" spans="1:27">
      <c r="A10" s="539" t="s">
        <v>129</v>
      </c>
      <c r="B10" s="540" t="s">
        <v>505</v>
      </c>
      <c r="C10" s="729">
        <f t="shared" ref="C10:C15" si="0">SUM(D10,H10,L10,T10)</f>
        <v>63310202.400064245</v>
      </c>
      <c r="D10" s="730">
        <f>SUM(D11:D14)</f>
        <v>55786178.07765092</v>
      </c>
      <c r="E10" s="730">
        <f t="shared" ref="E10:AA10" si="1">SUM(E11:E14)</f>
        <v>87228.088693129059</v>
      </c>
      <c r="F10" s="730">
        <f t="shared" si="1"/>
        <v>0</v>
      </c>
      <c r="G10" s="730">
        <f t="shared" si="1"/>
        <v>0</v>
      </c>
      <c r="H10" s="730">
        <f t="shared" si="1"/>
        <v>5474225.2915256936</v>
      </c>
      <c r="I10" s="730">
        <f t="shared" si="1"/>
        <v>418784.31472254137</v>
      </c>
      <c r="J10" s="730">
        <f t="shared" si="1"/>
        <v>153663.97518042676</v>
      </c>
      <c r="K10" s="730">
        <f t="shared" si="1"/>
        <v>0</v>
      </c>
      <c r="L10" s="730">
        <f t="shared" si="1"/>
        <v>2049799.0308876373</v>
      </c>
      <c r="M10" s="730">
        <f t="shared" si="1"/>
        <v>206492.98699147717</v>
      </c>
      <c r="N10" s="730">
        <f t="shared" si="1"/>
        <v>304306.0338632699</v>
      </c>
      <c r="O10" s="730">
        <f t="shared" si="1"/>
        <v>495865.79668948939</v>
      </c>
      <c r="P10" s="724">
        <f t="shared" si="1"/>
        <v>0</v>
      </c>
      <c r="Q10" s="724">
        <f t="shared" si="1"/>
        <v>0</v>
      </c>
      <c r="R10" s="724">
        <f t="shared" si="1"/>
        <v>0</v>
      </c>
      <c r="S10" s="724">
        <f t="shared" si="1"/>
        <v>0</v>
      </c>
      <c r="T10" s="724">
        <f t="shared" si="1"/>
        <v>0</v>
      </c>
      <c r="U10" s="724">
        <f t="shared" si="1"/>
        <v>0</v>
      </c>
      <c r="V10" s="724">
        <f t="shared" si="1"/>
        <v>0</v>
      </c>
      <c r="W10" s="724">
        <f t="shared" si="1"/>
        <v>0</v>
      </c>
      <c r="X10" s="724">
        <f t="shared" si="1"/>
        <v>0</v>
      </c>
      <c r="Y10" s="724">
        <f t="shared" si="1"/>
        <v>0</v>
      </c>
      <c r="Z10" s="724">
        <f t="shared" si="1"/>
        <v>0</v>
      </c>
      <c r="AA10" s="724">
        <f t="shared" si="1"/>
        <v>0</v>
      </c>
    </row>
    <row r="11" spans="1:27">
      <c r="A11" s="542" t="s">
        <v>506</v>
      </c>
      <c r="B11" s="543" t="s">
        <v>507</v>
      </c>
      <c r="C11" s="729">
        <f t="shared" si="0"/>
        <v>57017039.416325115</v>
      </c>
      <c r="D11" s="727">
        <v>50207811.529252015</v>
      </c>
      <c r="E11" s="727">
        <v>87228.088693129059</v>
      </c>
      <c r="F11" s="727">
        <v>0</v>
      </c>
      <c r="G11" s="727">
        <v>0</v>
      </c>
      <c r="H11" s="727">
        <v>4953794.8636346962</v>
      </c>
      <c r="I11" s="727">
        <v>418784.31472254137</v>
      </c>
      <c r="J11" s="727">
        <v>104526.49348268553</v>
      </c>
      <c r="K11" s="727">
        <v>0</v>
      </c>
      <c r="L11" s="727">
        <v>1855433.0234384034</v>
      </c>
      <c r="M11" s="727">
        <v>206492.98699147717</v>
      </c>
      <c r="N11" s="727">
        <v>241242.95743972386</v>
      </c>
      <c r="O11" s="727">
        <v>495865.79668948939</v>
      </c>
      <c r="P11" s="537">
        <v>0</v>
      </c>
      <c r="Q11" s="537">
        <v>0</v>
      </c>
      <c r="R11" s="537">
        <v>0</v>
      </c>
      <c r="S11" s="537">
        <v>0</v>
      </c>
      <c r="T11" s="537">
        <v>0</v>
      </c>
      <c r="U11" s="537">
        <v>0</v>
      </c>
      <c r="V11" s="537">
        <v>0</v>
      </c>
      <c r="W11" s="537">
        <v>0</v>
      </c>
      <c r="X11" s="537">
        <v>0</v>
      </c>
      <c r="Y11" s="537">
        <v>0</v>
      </c>
      <c r="Z11" s="537">
        <v>0</v>
      </c>
      <c r="AA11" s="538">
        <v>0</v>
      </c>
    </row>
    <row r="12" spans="1:27">
      <c r="A12" s="542" t="s">
        <v>508</v>
      </c>
      <c r="B12" s="543" t="s">
        <v>509</v>
      </c>
      <c r="C12" s="729">
        <f t="shared" si="0"/>
        <v>3978199.871266163</v>
      </c>
      <c r="D12" s="727">
        <v>3673561.0863695303</v>
      </c>
      <c r="E12" s="727">
        <v>0</v>
      </c>
      <c r="F12" s="727">
        <v>0</v>
      </c>
      <c r="G12" s="727">
        <v>0</v>
      </c>
      <c r="H12" s="727">
        <v>262498.65090897621</v>
      </c>
      <c r="I12" s="727">
        <v>0</v>
      </c>
      <c r="J12" s="727">
        <v>0</v>
      </c>
      <c r="K12" s="727">
        <v>0</v>
      </c>
      <c r="L12" s="727">
        <v>42140.133987656343</v>
      </c>
      <c r="M12" s="727">
        <v>0</v>
      </c>
      <c r="N12" s="727">
        <v>0</v>
      </c>
      <c r="O12" s="727">
        <v>0</v>
      </c>
      <c r="P12" s="537">
        <v>0</v>
      </c>
      <c r="Q12" s="537">
        <v>0</v>
      </c>
      <c r="R12" s="537">
        <v>0</v>
      </c>
      <c r="S12" s="537">
        <v>0</v>
      </c>
      <c r="T12" s="537">
        <v>0</v>
      </c>
      <c r="U12" s="537">
        <v>0</v>
      </c>
      <c r="V12" s="537">
        <v>0</v>
      </c>
      <c r="W12" s="537">
        <v>0</v>
      </c>
      <c r="X12" s="537">
        <v>0</v>
      </c>
      <c r="Y12" s="537">
        <v>0</v>
      </c>
      <c r="Z12" s="537">
        <v>0</v>
      </c>
      <c r="AA12" s="538">
        <v>0</v>
      </c>
    </row>
    <row r="13" spans="1:27">
      <c r="A13" s="542" t="s">
        <v>510</v>
      </c>
      <c r="B13" s="543" t="s">
        <v>511</v>
      </c>
      <c r="C13" s="729">
        <f t="shared" si="0"/>
        <v>837417.20639865624</v>
      </c>
      <c r="D13" s="727">
        <v>623019.87172152428</v>
      </c>
      <c r="E13" s="727">
        <v>0</v>
      </c>
      <c r="F13" s="727">
        <v>0</v>
      </c>
      <c r="G13" s="727">
        <v>0</v>
      </c>
      <c r="H13" s="727">
        <v>94046.925343940995</v>
      </c>
      <c r="I13" s="727">
        <v>0</v>
      </c>
      <c r="J13" s="727">
        <v>0</v>
      </c>
      <c r="K13" s="727">
        <v>0</v>
      </c>
      <c r="L13" s="727">
        <v>120350.409333191</v>
      </c>
      <c r="M13" s="727">
        <v>0</v>
      </c>
      <c r="N13" s="727">
        <v>63063.076423546016</v>
      </c>
      <c r="O13" s="727">
        <v>0</v>
      </c>
      <c r="P13" s="537">
        <v>0</v>
      </c>
      <c r="Q13" s="537">
        <v>0</v>
      </c>
      <c r="R13" s="537">
        <v>0</v>
      </c>
      <c r="S13" s="537">
        <v>0</v>
      </c>
      <c r="T13" s="537">
        <v>0</v>
      </c>
      <c r="U13" s="537">
        <v>0</v>
      </c>
      <c r="V13" s="537">
        <v>0</v>
      </c>
      <c r="W13" s="537">
        <v>0</v>
      </c>
      <c r="X13" s="537">
        <v>0</v>
      </c>
      <c r="Y13" s="537">
        <v>0</v>
      </c>
      <c r="Z13" s="537">
        <v>0</v>
      </c>
      <c r="AA13" s="538">
        <v>0</v>
      </c>
    </row>
    <row r="14" spans="1:27">
      <c r="A14" s="542" t="s">
        <v>512</v>
      </c>
      <c r="B14" s="543" t="s">
        <v>513</v>
      </c>
      <c r="C14" s="729">
        <f t="shared" si="0"/>
        <v>1477545.9060743174</v>
      </c>
      <c r="D14" s="727">
        <v>1281785.5903078504</v>
      </c>
      <c r="E14" s="727">
        <v>0</v>
      </c>
      <c r="F14" s="727">
        <v>0</v>
      </c>
      <c r="G14" s="727">
        <v>0</v>
      </c>
      <c r="H14" s="727">
        <v>163884.85163808026</v>
      </c>
      <c r="I14" s="727">
        <v>0</v>
      </c>
      <c r="J14" s="727">
        <v>49137.481697741227</v>
      </c>
      <c r="K14" s="727">
        <v>0</v>
      </c>
      <c r="L14" s="727">
        <v>31875.464128386695</v>
      </c>
      <c r="M14" s="727"/>
      <c r="N14" s="727">
        <v>0</v>
      </c>
      <c r="O14" s="727">
        <v>0</v>
      </c>
      <c r="P14" s="537">
        <v>0</v>
      </c>
      <c r="Q14" s="537">
        <v>0</v>
      </c>
      <c r="R14" s="537">
        <v>0</v>
      </c>
      <c r="S14" s="537">
        <v>0</v>
      </c>
      <c r="T14" s="537">
        <v>0</v>
      </c>
      <c r="U14" s="537">
        <v>0</v>
      </c>
      <c r="V14" s="537">
        <v>0</v>
      </c>
      <c r="W14" s="537">
        <v>0</v>
      </c>
      <c r="X14" s="537">
        <v>0</v>
      </c>
      <c r="Y14" s="537">
        <v>0</v>
      </c>
      <c r="Z14" s="537">
        <v>0</v>
      </c>
      <c r="AA14" s="538">
        <v>0</v>
      </c>
    </row>
    <row r="15" spans="1:27">
      <c r="A15" s="542">
        <v>1.2</v>
      </c>
      <c r="B15" s="543" t="s">
        <v>806</v>
      </c>
      <c r="C15" s="541">
        <f t="shared" si="0"/>
        <v>3641727.4</v>
      </c>
      <c r="D15" s="727">
        <v>311283.63</v>
      </c>
      <c r="E15" s="727">
        <v>1140.0999999999999</v>
      </c>
      <c r="F15" s="537">
        <v>0</v>
      </c>
      <c r="G15" s="537">
        <v>0</v>
      </c>
      <c r="H15" s="537">
        <v>520081.45</v>
      </c>
      <c r="I15" s="537">
        <v>51375.58</v>
      </c>
      <c r="J15" s="537">
        <v>47236.2</v>
      </c>
      <c r="K15" s="537">
        <v>0</v>
      </c>
      <c r="L15" s="537">
        <v>2810362.32</v>
      </c>
      <c r="M15" s="537">
        <v>363978.49</v>
      </c>
      <c r="N15" s="537">
        <v>583912.67000000004</v>
      </c>
      <c r="O15" s="537">
        <v>791645.57</v>
      </c>
      <c r="P15" s="537">
        <v>0</v>
      </c>
      <c r="Q15" s="537">
        <v>0</v>
      </c>
      <c r="R15" s="537">
        <v>0</v>
      </c>
      <c r="S15" s="537">
        <v>0</v>
      </c>
      <c r="T15" s="537">
        <v>0</v>
      </c>
      <c r="U15" s="537">
        <v>0</v>
      </c>
      <c r="V15" s="537">
        <v>0</v>
      </c>
      <c r="W15" s="537">
        <v>0</v>
      </c>
      <c r="X15" s="537">
        <v>0</v>
      </c>
      <c r="Y15" s="537">
        <v>0</v>
      </c>
      <c r="Z15" s="537">
        <v>0</v>
      </c>
      <c r="AA15" s="538">
        <v>0</v>
      </c>
    </row>
    <row r="16" spans="1:27">
      <c r="A16" s="539">
        <v>1.3</v>
      </c>
      <c r="B16" s="543" t="s">
        <v>514</v>
      </c>
      <c r="C16" s="544"/>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6"/>
    </row>
    <row r="17" spans="1:27">
      <c r="A17" s="547" t="s">
        <v>515</v>
      </c>
      <c r="B17" s="543" t="s">
        <v>516</v>
      </c>
      <c r="C17" s="548">
        <f t="shared" ref="C17:C20" si="2">SUM(D17,H17,L17,T17)</f>
        <v>169316864.24698418</v>
      </c>
      <c r="D17" s="537">
        <v>151289444.69144034</v>
      </c>
      <c r="E17" s="537">
        <v>583687.9759480831</v>
      </c>
      <c r="F17" s="537">
        <v>0</v>
      </c>
      <c r="G17" s="537">
        <v>0</v>
      </c>
      <c r="H17" s="537">
        <v>12711304.521134492</v>
      </c>
      <c r="I17" s="537">
        <v>1678705.8633593707</v>
      </c>
      <c r="J17" s="537">
        <v>777600.64552075951</v>
      </c>
      <c r="K17" s="537">
        <v>0</v>
      </c>
      <c r="L17" s="537">
        <v>5316115.0344093423</v>
      </c>
      <c r="M17" s="537">
        <v>718492.70320405625</v>
      </c>
      <c r="N17" s="537">
        <v>1052352.5717516933</v>
      </c>
      <c r="O17" s="537">
        <v>1445871.9071287897</v>
      </c>
      <c r="P17" s="537">
        <v>0</v>
      </c>
      <c r="Q17" s="537">
        <v>0</v>
      </c>
      <c r="R17" s="537">
        <v>0</v>
      </c>
      <c r="S17" s="537">
        <v>0</v>
      </c>
      <c r="T17" s="537">
        <v>0</v>
      </c>
      <c r="U17" s="537">
        <v>0</v>
      </c>
      <c r="V17" s="537">
        <v>0</v>
      </c>
      <c r="W17" s="537">
        <v>0</v>
      </c>
      <c r="X17" s="537">
        <v>0</v>
      </c>
      <c r="Y17" s="537">
        <v>0</v>
      </c>
      <c r="Z17" s="537">
        <v>0</v>
      </c>
      <c r="AA17" s="538">
        <v>0</v>
      </c>
    </row>
    <row r="18" spans="1:27">
      <c r="A18" s="547" t="s">
        <v>517</v>
      </c>
      <c r="B18" s="543" t="s">
        <v>518</v>
      </c>
      <c r="C18" s="548">
        <f t="shared" si="2"/>
        <v>63310202.400064215</v>
      </c>
      <c r="D18" s="537">
        <v>55786178.077650882</v>
      </c>
      <c r="E18" s="537">
        <v>87228.088693129059</v>
      </c>
      <c r="F18" s="537">
        <v>0</v>
      </c>
      <c r="G18" s="537">
        <v>0</v>
      </c>
      <c r="H18" s="537">
        <v>5474225.2915256927</v>
      </c>
      <c r="I18" s="537">
        <v>418784.31472254137</v>
      </c>
      <c r="J18" s="537">
        <v>153663.97518042676</v>
      </c>
      <c r="K18" s="537">
        <v>0</v>
      </c>
      <c r="L18" s="537">
        <v>2049799.0308876373</v>
      </c>
      <c r="M18" s="537">
        <v>206492.98699147717</v>
      </c>
      <c r="N18" s="537">
        <v>304306.03386326984</v>
      </c>
      <c r="O18" s="537">
        <v>495865.79668948939</v>
      </c>
      <c r="P18" s="537">
        <v>0</v>
      </c>
      <c r="Q18" s="537">
        <v>0</v>
      </c>
      <c r="R18" s="537">
        <v>0</v>
      </c>
      <c r="S18" s="537">
        <v>0</v>
      </c>
      <c r="T18" s="537">
        <v>0</v>
      </c>
      <c r="U18" s="537">
        <v>0</v>
      </c>
      <c r="V18" s="537">
        <v>0</v>
      </c>
      <c r="W18" s="537">
        <v>0</v>
      </c>
      <c r="X18" s="537">
        <v>0</v>
      </c>
      <c r="Y18" s="537">
        <v>0</v>
      </c>
      <c r="Z18" s="537">
        <v>0</v>
      </c>
      <c r="AA18" s="538">
        <v>0</v>
      </c>
    </row>
    <row r="19" spans="1:27">
      <c r="A19" s="547" t="s">
        <v>519</v>
      </c>
      <c r="B19" s="543" t="s">
        <v>520</v>
      </c>
      <c r="C19" s="548">
        <f t="shared" si="2"/>
        <v>292631979.21301514</v>
      </c>
      <c r="D19" s="537">
        <v>261251395.71855903</v>
      </c>
      <c r="E19" s="537">
        <v>458378.83405191673</v>
      </c>
      <c r="F19" s="537">
        <v>0</v>
      </c>
      <c r="G19" s="537">
        <v>0</v>
      </c>
      <c r="H19" s="537">
        <v>22676383.008865487</v>
      </c>
      <c r="I19" s="537">
        <v>2335317.0366406292</v>
      </c>
      <c r="J19" s="537">
        <v>1369986.0844792405</v>
      </c>
      <c r="K19" s="537">
        <v>0</v>
      </c>
      <c r="L19" s="537">
        <v>8704200.4855906572</v>
      </c>
      <c r="M19" s="537">
        <v>883989.42679594434</v>
      </c>
      <c r="N19" s="537">
        <v>1041427.0082483067</v>
      </c>
      <c r="O19" s="537">
        <v>1726137.81287121</v>
      </c>
      <c r="P19" s="537">
        <v>0</v>
      </c>
      <c r="Q19" s="537">
        <v>0</v>
      </c>
      <c r="R19" s="537">
        <v>0</v>
      </c>
      <c r="S19" s="537">
        <v>0</v>
      </c>
      <c r="T19" s="537">
        <v>0</v>
      </c>
      <c r="U19" s="537">
        <v>0</v>
      </c>
      <c r="V19" s="537">
        <v>0</v>
      </c>
      <c r="W19" s="537">
        <v>0</v>
      </c>
      <c r="X19" s="537">
        <v>0</v>
      </c>
      <c r="Y19" s="537">
        <v>0</v>
      </c>
      <c r="Z19" s="537">
        <v>0</v>
      </c>
      <c r="AA19" s="538">
        <v>0</v>
      </c>
    </row>
    <row r="20" spans="1:27">
      <c r="A20" s="547" t="s">
        <v>521</v>
      </c>
      <c r="B20" s="543" t="s">
        <v>522</v>
      </c>
      <c r="C20" s="548">
        <f t="shared" si="2"/>
        <v>225252536.5599356</v>
      </c>
      <c r="D20" s="537">
        <v>200336544.03234893</v>
      </c>
      <c r="E20" s="537">
        <v>82031.911306870941</v>
      </c>
      <c r="F20" s="537">
        <v>0</v>
      </c>
      <c r="G20" s="537">
        <v>0</v>
      </c>
      <c r="H20" s="537">
        <v>17323083.458474305</v>
      </c>
      <c r="I20" s="537">
        <v>1181155.4852774586</v>
      </c>
      <c r="J20" s="537">
        <v>698459.42481957329</v>
      </c>
      <c r="K20" s="537">
        <v>0</v>
      </c>
      <c r="L20" s="537">
        <v>7592909.0691123642</v>
      </c>
      <c r="M20" s="537">
        <v>388795.0130085228</v>
      </c>
      <c r="N20" s="537">
        <v>957584.26613673009</v>
      </c>
      <c r="O20" s="537">
        <v>1527956.8033105107</v>
      </c>
      <c r="P20" s="537">
        <v>0</v>
      </c>
      <c r="Q20" s="537">
        <v>0</v>
      </c>
      <c r="R20" s="537">
        <v>0</v>
      </c>
      <c r="S20" s="537">
        <v>0</v>
      </c>
      <c r="T20" s="537">
        <v>0</v>
      </c>
      <c r="U20" s="537">
        <v>0</v>
      </c>
      <c r="V20" s="537">
        <v>0</v>
      </c>
      <c r="W20" s="537">
        <v>0</v>
      </c>
      <c r="X20" s="537">
        <v>0</v>
      </c>
      <c r="Y20" s="537">
        <v>0</v>
      </c>
      <c r="Z20" s="537">
        <v>0</v>
      </c>
      <c r="AA20" s="538">
        <v>0</v>
      </c>
    </row>
    <row r="21" spans="1:27">
      <c r="A21" s="549">
        <v>1.4</v>
      </c>
      <c r="B21" s="543" t="s">
        <v>607</v>
      </c>
      <c r="C21" s="548">
        <v>0</v>
      </c>
      <c r="D21" s="537">
        <v>0</v>
      </c>
      <c r="E21" s="537">
        <v>0</v>
      </c>
      <c r="F21" s="537">
        <v>0</v>
      </c>
      <c r="G21" s="537">
        <v>0</v>
      </c>
      <c r="H21" s="537">
        <v>0</v>
      </c>
      <c r="I21" s="537">
        <v>0</v>
      </c>
      <c r="J21" s="537">
        <v>0</v>
      </c>
      <c r="K21" s="537">
        <v>0</v>
      </c>
      <c r="L21" s="537">
        <v>0</v>
      </c>
      <c r="M21" s="537">
        <v>0</v>
      </c>
      <c r="N21" s="537">
        <v>0</v>
      </c>
      <c r="O21" s="537">
        <v>0</v>
      </c>
      <c r="P21" s="537">
        <v>0</v>
      </c>
      <c r="Q21" s="537">
        <v>0</v>
      </c>
      <c r="R21" s="537">
        <v>0</v>
      </c>
      <c r="S21" s="537">
        <v>0</v>
      </c>
      <c r="T21" s="537">
        <v>0</v>
      </c>
      <c r="U21" s="537">
        <v>0</v>
      </c>
      <c r="V21" s="537">
        <v>0</v>
      </c>
      <c r="W21" s="537">
        <v>0</v>
      </c>
      <c r="X21" s="537">
        <v>0</v>
      </c>
      <c r="Y21" s="537">
        <v>0</v>
      </c>
      <c r="Z21" s="537">
        <v>0</v>
      </c>
      <c r="AA21" s="538">
        <v>0</v>
      </c>
    </row>
    <row r="22" spans="1:27" ht="14.4" thickBot="1">
      <c r="A22" s="550">
        <v>1.5</v>
      </c>
      <c r="B22" s="744" t="s">
        <v>914</v>
      </c>
      <c r="C22" s="551">
        <v>0</v>
      </c>
      <c r="D22" s="552">
        <v>0</v>
      </c>
      <c r="E22" s="552">
        <v>0</v>
      </c>
      <c r="F22" s="552">
        <v>0</v>
      </c>
      <c r="G22" s="552">
        <v>0</v>
      </c>
      <c r="H22" s="552">
        <v>0</v>
      </c>
      <c r="I22" s="552">
        <v>0</v>
      </c>
      <c r="J22" s="552">
        <v>0</v>
      </c>
      <c r="K22" s="552">
        <v>0</v>
      </c>
      <c r="L22" s="552">
        <v>0</v>
      </c>
      <c r="M22" s="552">
        <v>0</v>
      </c>
      <c r="N22" s="552">
        <v>0</v>
      </c>
      <c r="O22" s="552">
        <v>0</v>
      </c>
      <c r="P22" s="552">
        <v>0</v>
      </c>
      <c r="Q22" s="552">
        <v>0</v>
      </c>
      <c r="R22" s="552">
        <v>0</v>
      </c>
      <c r="S22" s="552">
        <v>0</v>
      </c>
      <c r="T22" s="552">
        <v>0</v>
      </c>
      <c r="U22" s="552">
        <v>0</v>
      </c>
      <c r="V22" s="552">
        <v>0</v>
      </c>
      <c r="W22" s="552">
        <v>0</v>
      </c>
      <c r="X22" s="552">
        <v>0</v>
      </c>
      <c r="Y22" s="552">
        <v>0</v>
      </c>
      <c r="Z22" s="552">
        <v>0</v>
      </c>
      <c r="AA22" s="553">
        <v>0</v>
      </c>
    </row>
    <row r="23" spans="1:27">
      <c r="H23" s="723"/>
    </row>
    <row r="24" spans="1:27">
      <c r="D24" s="723"/>
      <c r="E24" s="371"/>
      <c r="F24" s="371"/>
      <c r="G24" s="371"/>
      <c r="H24" s="723"/>
      <c r="I24" s="371"/>
      <c r="J24" s="371"/>
      <c r="K24" s="371"/>
      <c r="L24" s="723"/>
      <c r="M24" s="371"/>
      <c r="N24" s="371"/>
      <c r="O24" s="371"/>
      <c r="P24" s="371"/>
      <c r="Q24" s="371"/>
      <c r="R24" s="371"/>
      <c r="S24" s="371"/>
      <c r="T24" s="371"/>
      <c r="U24" s="371"/>
      <c r="V24" s="371"/>
      <c r="W24" s="371"/>
      <c r="X24" s="371"/>
      <c r="Y24" s="371"/>
      <c r="Z24" s="371"/>
      <c r="AA24" s="371"/>
    </row>
    <row r="25" spans="1:27">
      <c r="D25" s="723"/>
      <c r="E25" s="371"/>
      <c r="F25" s="371"/>
      <c r="G25" s="371"/>
      <c r="H25" s="723"/>
      <c r="I25" s="371"/>
      <c r="J25" s="371"/>
      <c r="K25" s="371"/>
      <c r="L25" s="723"/>
    </row>
    <row r="26" spans="1:27">
      <c r="D26" s="723"/>
      <c r="H26" s="723"/>
      <c r="L26" s="723"/>
    </row>
    <row r="27" spans="1:27">
      <c r="D27" s="723"/>
      <c r="H27" s="723"/>
      <c r="L27" s="723"/>
    </row>
    <row r="28" spans="1:27">
      <c r="D28" s="723"/>
      <c r="H28" s="723"/>
      <c r="L28" s="723"/>
    </row>
    <row r="29" spans="1:27">
      <c r="D29" s="723"/>
      <c r="H29" s="723"/>
      <c r="L29" s="723"/>
    </row>
    <row r="30" spans="1:27">
      <c r="D30" s="723"/>
      <c r="H30" s="723"/>
      <c r="L30" s="723"/>
    </row>
    <row r="31" spans="1:27">
      <c r="D31" s="723"/>
      <c r="E31" s="723"/>
      <c r="F31" s="723"/>
      <c r="G31" s="723"/>
      <c r="H31" s="723"/>
      <c r="I31" s="723"/>
      <c r="J31" s="723"/>
      <c r="K31" s="723"/>
      <c r="L31" s="723"/>
      <c r="M31" s="723"/>
      <c r="N31" s="723"/>
      <c r="O31" s="723"/>
    </row>
    <row r="32" spans="1:27">
      <c r="D32" s="725"/>
      <c r="E32" s="725"/>
      <c r="F32" s="725"/>
      <c r="G32" s="725"/>
      <c r="H32" s="725"/>
      <c r="I32" s="725"/>
      <c r="J32" s="725"/>
      <c r="K32" s="725"/>
      <c r="L32" s="725"/>
      <c r="M32" s="725"/>
      <c r="N32" s="725"/>
      <c r="O32" s="72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36"/>
  <sheetViews>
    <sheetView showGridLines="0" zoomScale="80" zoomScaleNormal="80" workbookViewId="0">
      <pane xSplit="2" ySplit="6" topLeftCell="C7" activePane="bottomRight" state="frozen"/>
      <selection activeCell="C24" sqref="C24"/>
      <selection pane="topRight" activeCell="C24" sqref="C24"/>
      <selection pane="bottomLeft" activeCell="C24" sqref="C24"/>
      <selection pane="bottomRight" activeCell="L33" sqref="C33:L33"/>
    </sheetView>
  </sheetViews>
  <sheetFormatPr defaultColWidth="9.21875" defaultRowHeight="12"/>
  <cols>
    <col min="1" max="1" width="14.109375" style="70" bestFit="1" customWidth="1"/>
    <col min="2" max="2" width="93.44140625" style="70" customWidth="1"/>
    <col min="3" max="3" width="14.6640625" style="70" customWidth="1"/>
    <col min="4" max="5" width="16.109375" style="70" customWidth="1"/>
    <col min="6" max="6" width="16.109375" style="81" customWidth="1"/>
    <col min="7" max="7" width="25.21875" style="81" customWidth="1"/>
    <col min="8" max="8" width="16.109375" style="70" customWidth="1"/>
    <col min="9" max="11" width="16.109375" style="81" customWidth="1"/>
    <col min="12" max="12" width="26.21875" style="81" customWidth="1"/>
    <col min="13" max="16384" width="9.21875" style="70"/>
  </cols>
  <sheetData>
    <row r="1" spans="1:12" ht="13.8">
      <c r="A1" s="336" t="s">
        <v>869</v>
      </c>
      <c r="B1" s="338" t="str">
        <f>Info!C2</f>
        <v>კრისტალი</v>
      </c>
      <c r="F1" s="70"/>
      <c r="G1" s="70"/>
      <c r="I1" s="70"/>
      <c r="J1" s="70"/>
      <c r="K1" s="70"/>
      <c r="L1" s="70"/>
    </row>
    <row r="2" spans="1:12" ht="13.8">
      <c r="A2" s="336" t="s">
        <v>88</v>
      </c>
      <c r="B2" s="337">
        <f>'1. key ratios'!B2</f>
        <v>46112</v>
      </c>
      <c r="F2" s="70"/>
      <c r="G2" s="70"/>
      <c r="I2" s="70"/>
      <c r="J2" s="70"/>
      <c r="K2" s="70"/>
      <c r="L2" s="70"/>
    </row>
    <row r="3" spans="1:12">
      <c r="A3" s="50" t="s">
        <v>524</v>
      </c>
      <c r="F3" s="70"/>
      <c r="G3" s="70"/>
      <c r="I3" s="70"/>
      <c r="J3" s="70"/>
      <c r="K3" s="70"/>
      <c r="L3" s="70"/>
    </row>
    <row r="4" spans="1:12">
      <c r="D4" s="70">
        <v>3</v>
      </c>
      <c r="E4" s="70">
        <f>D4+1</f>
        <v>4</v>
      </c>
      <c r="F4" s="70">
        <f>E4+1</f>
        <v>5</v>
      </c>
      <c r="I4" s="70">
        <f>F4+1</f>
        <v>6</v>
      </c>
      <c r="J4" s="70">
        <f>I4+1</f>
        <v>7</v>
      </c>
      <c r="K4" s="70">
        <f>J4+1</f>
        <v>8</v>
      </c>
      <c r="L4" s="70"/>
    </row>
    <row r="5" spans="1:12">
      <c r="A5" s="845" t="s">
        <v>525</v>
      </c>
      <c r="B5" s="846"/>
      <c r="C5" s="889" t="s">
        <v>526</v>
      </c>
      <c r="D5" s="890"/>
      <c r="E5" s="890"/>
      <c r="F5" s="890"/>
      <c r="G5" s="890"/>
      <c r="H5" s="889" t="s">
        <v>818</v>
      </c>
      <c r="I5" s="891"/>
      <c r="J5" s="891"/>
      <c r="K5" s="891"/>
      <c r="L5" s="892"/>
    </row>
    <row r="6" spans="1:12" ht="66" customHeight="1">
      <c r="A6" s="847"/>
      <c r="B6" s="848"/>
      <c r="C6" s="51"/>
      <c r="D6" s="68" t="s">
        <v>803</v>
      </c>
      <c r="E6" s="68" t="s">
        <v>802</v>
      </c>
      <c r="F6" s="68" t="s">
        <v>801</v>
      </c>
      <c r="G6" s="68" t="s">
        <v>800</v>
      </c>
      <c r="H6" s="82"/>
      <c r="I6" s="68" t="s">
        <v>803</v>
      </c>
      <c r="J6" s="68" t="s">
        <v>802</v>
      </c>
      <c r="K6" s="68" t="s">
        <v>801</v>
      </c>
      <c r="L6" s="68" t="s">
        <v>800</v>
      </c>
    </row>
    <row r="7" spans="1:12">
      <c r="A7" s="65">
        <v>1</v>
      </c>
      <c r="B7" s="71" t="s">
        <v>449</v>
      </c>
      <c r="C7" s="519">
        <f>SUM(D7:G7)</f>
        <v>0</v>
      </c>
      <c r="D7" s="496">
        <v>0</v>
      </c>
      <c r="E7" s="496">
        <v>0</v>
      </c>
      <c r="F7" s="496">
        <v>0</v>
      </c>
      <c r="G7" s="518">
        <v>0</v>
      </c>
      <c r="H7" s="519">
        <f>SUM(I7:L7)</f>
        <v>0</v>
      </c>
      <c r="I7" s="496">
        <v>0</v>
      </c>
      <c r="J7" s="496">
        <v>0</v>
      </c>
      <c r="K7" s="496">
        <v>0</v>
      </c>
      <c r="L7" s="518">
        <v>0</v>
      </c>
    </row>
    <row r="8" spans="1:12">
      <c r="A8" s="65">
        <v>2</v>
      </c>
      <c r="B8" s="71" t="s">
        <v>450</v>
      </c>
      <c r="C8" s="519">
        <f>SUM(D8:G8)</f>
        <v>68175.605225263149</v>
      </c>
      <c r="D8" s="496">
        <v>55050.313460493453</v>
      </c>
      <c r="E8" s="496">
        <v>13125.29176476969</v>
      </c>
      <c r="F8" s="496">
        <v>0</v>
      </c>
      <c r="G8" s="518">
        <v>0</v>
      </c>
      <c r="H8" s="519">
        <f>SUM(I8:L8)</f>
        <v>2350.5800000000004</v>
      </c>
      <c r="I8" s="496">
        <v>123.04999999999998</v>
      </c>
      <c r="J8" s="496">
        <v>2227.5300000000002</v>
      </c>
      <c r="K8" s="496">
        <v>0</v>
      </c>
      <c r="L8" s="518">
        <v>0</v>
      </c>
    </row>
    <row r="9" spans="1:12">
      <c r="A9" s="65">
        <v>3</v>
      </c>
      <c r="B9" s="71" t="s">
        <v>779</v>
      </c>
      <c r="C9" s="519">
        <f>SUM(D9:G9)</f>
        <v>19951.001251540685</v>
      </c>
      <c r="D9" s="496">
        <v>19951.001251540685</v>
      </c>
      <c r="E9" s="496">
        <v>0</v>
      </c>
      <c r="F9" s="496">
        <v>0</v>
      </c>
      <c r="G9" s="518">
        <v>0</v>
      </c>
      <c r="H9" s="519">
        <f>SUM(I9:L9)</f>
        <v>152.85</v>
      </c>
      <c r="I9" s="496">
        <v>152.85</v>
      </c>
      <c r="J9" s="496">
        <v>0</v>
      </c>
      <c r="K9" s="496">
        <v>0</v>
      </c>
      <c r="L9" s="518">
        <v>0</v>
      </c>
    </row>
    <row r="10" spans="1:12">
      <c r="A10" s="65">
        <v>4</v>
      </c>
      <c r="B10" s="71" t="s">
        <v>451</v>
      </c>
      <c r="C10" s="519">
        <f t="shared" ref="C10:C32" si="0">SUM(D10:G10)</f>
        <v>0</v>
      </c>
      <c r="D10" s="496">
        <v>0</v>
      </c>
      <c r="E10" s="496">
        <v>0</v>
      </c>
      <c r="F10" s="496">
        <v>0</v>
      </c>
      <c r="G10" s="518">
        <v>0</v>
      </c>
      <c r="H10" s="519">
        <f t="shared" ref="H10:H32" si="1">SUM(I10:L10)</f>
        <v>0</v>
      </c>
      <c r="I10" s="496">
        <v>0</v>
      </c>
      <c r="J10" s="496">
        <v>0</v>
      </c>
      <c r="K10" s="496">
        <v>0</v>
      </c>
      <c r="L10" s="518">
        <v>0</v>
      </c>
    </row>
    <row r="11" spans="1:12">
      <c r="A11" s="65">
        <v>5</v>
      </c>
      <c r="B11" s="71" t="s">
        <v>452</v>
      </c>
      <c r="C11" s="519">
        <f t="shared" si="0"/>
        <v>1855347.5119535262</v>
      </c>
      <c r="D11" s="496">
        <v>1756706.8153857398</v>
      </c>
      <c r="E11" s="496">
        <v>84507.742271039431</v>
      </c>
      <c r="F11" s="496">
        <v>14132.954296747099</v>
      </c>
      <c r="G11" s="518">
        <v>0</v>
      </c>
      <c r="H11" s="519">
        <f t="shared" si="1"/>
        <v>39950.380000000005</v>
      </c>
      <c r="I11" s="496">
        <v>9944.1800000000021</v>
      </c>
      <c r="J11" s="496">
        <v>19422.68</v>
      </c>
      <c r="K11" s="496">
        <v>10583.52</v>
      </c>
      <c r="L11" s="518">
        <v>0</v>
      </c>
    </row>
    <row r="12" spans="1:12">
      <c r="A12" s="65">
        <v>6</v>
      </c>
      <c r="B12" s="71" t="s">
        <v>453</v>
      </c>
      <c r="C12" s="519">
        <f t="shared" si="0"/>
        <v>10193649.110754294</v>
      </c>
      <c r="D12" s="496">
        <v>8811040.1808684003</v>
      </c>
      <c r="E12" s="496">
        <v>720175.79030781728</v>
      </c>
      <c r="F12" s="496">
        <v>662433.13957807608</v>
      </c>
      <c r="G12" s="518">
        <v>0</v>
      </c>
      <c r="H12" s="519">
        <f t="shared" si="1"/>
        <v>580151.11</v>
      </c>
      <c r="I12" s="496">
        <v>61214.179999999971</v>
      </c>
      <c r="J12" s="496">
        <v>45232.299999999988</v>
      </c>
      <c r="K12" s="496">
        <v>473704.63000000006</v>
      </c>
      <c r="L12" s="518">
        <v>0</v>
      </c>
    </row>
    <row r="13" spans="1:12">
      <c r="A13" s="65">
        <v>7</v>
      </c>
      <c r="B13" s="71" t="s">
        <v>454</v>
      </c>
      <c r="C13" s="519">
        <f t="shared" si="0"/>
        <v>2555282.6716131759</v>
      </c>
      <c r="D13" s="496">
        <v>2017800.7794997927</v>
      </c>
      <c r="E13" s="496">
        <v>450227.85296485462</v>
      </c>
      <c r="F13" s="496">
        <v>87254.03914852858</v>
      </c>
      <c r="G13" s="518">
        <v>0</v>
      </c>
      <c r="H13" s="519">
        <f t="shared" si="1"/>
        <v>93000.37000000001</v>
      </c>
      <c r="I13" s="496">
        <v>14248.960000000001</v>
      </c>
      <c r="J13" s="496">
        <v>15191.690000000006</v>
      </c>
      <c r="K13" s="496">
        <v>63559.72</v>
      </c>
      <c r="L13" s="518">
        <v>0</v>
      </c>
    </row>
    <row r="14" spans="1:12">
      <c r="A14" s="65">
        <v>8</v>
      </c>
      <c r="B14" s="71" t="s">
        <v>455</v>
      </c>
      <c r="C14" s="519">
        <f t="shared" si="0"/>
        <v>18696200.397216745</v>
      </c>
      <c r="D14" s="496">
        <v>16755820.682087351</v>
      </c>
      <c r="E14" s="496">
        <v>1248940.0022752725</v>
      </c>
      <c r="F14" s="496">
        <v>691439.71285412088</v>
      </c>
      <c r="G14" s="518">
        <v>0</v>
      </c>
      <c r="H14" s="519">
        <f t="shared" si="1"/>
        <v>697561.07000000007</v>
      </c>
      <c r="I14" s="496">
        <v>125292.60000000005</v>
      </c>
      <c r="J14" s="496">
        <v>97042.01</v>
      </c>
      <c r="K14" s="496">
        <v>475226.46</v>
      </c>
      <c r="L14" s="518">
        <v>0</v>
      </c>
    </row>
    <row r="15" spans="1:12">
      <c r="A15" s="65">
        <v>9</v>
      </c>
      <c r="B15" s="71" t="s">
        <v>456</v>
      </c>
      <c r="C15" s="519">
        <f t="shared" si="0"/>
        <v>4505844.5519215753</v>
      </c>
      <c r="D15" s="496">
        <v>4048442.7379931677</v>
      </c>
      <c r="E15" s="496">
        <v>233387.42406702781</v>
      </c>
      <c r="F15" s="496">
        <v>224014.38986137949</v>
      </c>
      <c r="G15" s="518">
        <v>0</v>
      </c>
      <c r="H15" s="519">
        <f t="shared" si="1"/>
        <v>226823.79000000004</v>
      </c>
      <c r="I15" s="496">
        <v>31512.530000000017</v>
      </c>
      <c r="J15" s="496">
        <v>25257.129999999997</v>
      </c>
      <c r="K15" s="496">
        <v>170054.13000000003</v>
      </c>
      <c r="L15" s="518">
        <v>0</v>
      </c>
    </row>
    <row r="16" spans="1:12">
      <c r="A16" s="65">
        <v>10</v>
      </c>
      <c r="B16" s="71" t="s">
        <v>457</v>
      </c>
      <c r="C16" s="519">
        <f t="shared" si="0"/>
        <v>4459574.5013570124</v>
      </c>
      <c r="D16" s="496">
        <v>3846948.513573519</v>
      </c>
      <c r="E16" s="496">
        <v>419064.86090558564</v>
      </c>
      <c r="F16" s="496">
        <v>193561.12687790752</v>
      </c>
      <c r="G16" s="518">
        <v>0</v>
      </c>
      <c r="H16" s="519">
        <f t="shared" si="1"/>
        <v>167346.09</v>
      </c>
      <c r="I16" s="496">
        <v>33340.519999999997</v>
      </c>
      <c r="J16" s="496">
        <v>7701.5500000000011</v>
      </c>
      <c r="K16" s="496">
        <v>126304.01999999999</v>
      </c>
      <c r="L16" s="518">
        <v>0</v>
      </c>
    </row>
    <row r="17" spans="1:12">
      <c r="A17" s="65">
        <v>11</v>
      </c>
      <c r="B17" s="71" t="s">
        <v>458</v>
      </c>
      <c r="C17" s="519">
        <f t="shared" si="0"/>
        <v>14026503.449510861</v>
      </c>
      <c r="D17" s="496">
        <v>13004898.664763901</v>
      </c>
      <c r="E17" s="496">
        <v>564976.56218882394</v>
      </c>
      <c r="F17" s="496">
        <v>456628.22255813435</v>
      </c>
      <c r="G17" s="518">
        <v>0</v>
      </c>
      <c r="H17" s="519">
        <f t="shared" si="1"/>
        <v>513107.96000000037</v>
      </c>
      <c r="I17" s="496">
        <v>139468.59000000035</v>
      </c>
      <c r="J17" s="496">
        <v>49909.620000000024</v>
      </c>
      <c r="K17" s="496">
        <v>323729.75</v>
      </c>
      <c r="L17" s="518">
        <v>0</v>
      </c>
    </row>
    <row r="18" spans="1:12">
      <c r="A18" s="65">
        <v>12</v>
      </c>
      <c r="B18" s="71" t="s">
        <v>459</v>
      </c>
      <c r="C18" s="519">
        <f t="shared" si="0"/>
        <v>8654849.8275655545</v>
      </c>
      <c r="D18" s="496">
        <v>7666081.9453708585</v>
      </c>
      <c r="E18" s="496">
        <v>709767.8471939381</v>
      </c>
      <c r="F18" s="496">
        <v>279000.03500075906</v>
      </c>
      <c r="G18" s="518">
        <v>0</v>
      </c>
      <c r="H18" s="519">
        <f t="shared" si="1"/>
        <v>329141.27000000008</v>
      </c>
      <c r="I18" s="496">
        <v>68063.220000000045</v>
      </c>
      <c r="J18" s="496">
        <v>40908.110000000015</v>
      </c>
      <c r="K18" s="496">
        <v>220169.94</v>
      </c>
      <c r="L18" s="518">
        <v>0</v>
      </c>
    </row>
    <row r="19" spans="1:12">
      <c r="A19" s="65">
        <v>13</v>
      </c>
      <c r="B19" s="71" t="s">
        <v>460</v>
      </c>
      <c r="C19" s="519">
        <f t="shared" si="0"/>
        <v>651485.3462191181</v>
      </c>
      <c r="D19" s="496">
        <v>598311.09378208313</v>
      </c>
      <c r="E19" s="496">
        <v>32705.738915770387</v>
      </c>
      <c r="F19" s="496">
        <v>20468.513521264536</v>
      </c>
      <c r="G19" s="518">
        <v>0</v>
      </c>
      <c r="H19" s="519">
        <f t="shared" si="1"/>
        <v>25435.449999999997</v>
      </c>
      <c r="I19" s="496">
        <v>6187.6499999999978</v>
      </c>
      <c r="J19" s="496">
        <v>5345.0499999999993</v>
      </c>
      <c r="K19" s="496">
        <v>13902.749999999998</v>
      </c>
      <c r="L19" s="518">
        <v>0</v>
      </c>
    </row>
    <row r="20" spans="1:12">
      <c r="A20" s="65">
        <v>14</v>
      </c>
      <c r="B20" s="71" t="s">
        <v>461</v>
      </c>
      <c r="C20" s="519">
        <f t="shared" si="0"/>
        <v>5339707.5292867329</v>
      </c>
      <c r="D20" s="496">
        <v>4962777.4520957852</v>
      </c>
      <c r="E20" s="496">
        <v>321853.87338815659</v>
      </c>
      <c r="F20" s="496">
        <v>55076.203802791119</v>
      </c>
      <c r="G20" s="518">
        <v>0</v>
      </c>
      <c r="H20" s="519">
        <f t="shared" si="1"/>
        <v>111047.13000000002</v>
      </c>
      <c r="I20" s="496">
        <v>37356.640000000029</v>
      </c>
      <c r="J20" s="496">
        <v>30855.06</v>
      </c>
      <c r="K20" s="496">
        <v>42835.429999999993</v>
      </c>
      <c r="L20" s="518">
        <v>0</v>
      </c>
    </row>
    <row r="21" spans="1:12">
      <c r="A21" s="65">
        <v>15</v>
      </c>
      <c r="B21" s="71" t="s">
        <v>462</v>
      </c>
      <c r="C21" s="519">
        <f t="shared" si="0"/>
        <v>2789043.8032603348</v>
      </c>
      <c r="D21" s="496">
        <v>2413741.6237447192</v>
      </c>
      <c r="E21" s="496">
        <v>262904.37353039358</v>
      </c>
      <c r="F21" s="496">
        <v>112397.80598522205</v>
      </c>
      <c r="G21" s="518">
        <v>0</v>
      </c>
      <c r="H21" s="519">
        <f t="shared" si="1"/>
        <v>103659.50000000003</v>
      </c>
      <c r="I21" s="496">
        <v>18520.790000000012</v>
      </c>
      <c r="J21" s="496">
        <v>14826.699999999999</v>
      </c>
      <c r="K21" s="496">
        <v>70312.010000000009</v>
      </c>
      <c r="L21" s="518">
        <v>0</v>
      </c>
    </row>
    <row r="22" spans="1:12">
      <c r="A22" s="65">
        <v>16</v>
      </c>
      <c r="B22" s="71" t="s">
        <v>463</v>
      </c>
      <c r="C22" s="519">
        <f t="shared" si="0"/>
        <v>32518.331750518253</v>
      </c>
      <c r="D22" s="496">
        <v>32518.331750518253</v>
      </c>
      <c r="E22" s="496">
        <v>0</v>
      </c>
      <c r="F22" s="496">
        <v>0</v>
      </c>
      <c r="G22" s="518">
        <v>0</v>
      </c>
      <c r="H22" s="519">
        <f t="shared" si="1"/>
        <v>379.39</v>
      </c>
      <c r="I22" s="496">
        <v>379.39</v>
      </c>
      <c r="J22" s="496">
        <v>0</v>
      </c>
      <c r="K22" s="496">
        <v>0</v>
      </c>
      <c r="L22" s="518">
        <v>0</v>
      </c>
    </row>
    <row r="23" spans="1:12">
      <c r="A23" s="65">
        <v>17</v>
      </c>
      <c r="B23" s="71" t="s">
        <v>464</v>
      </c>
      <c r="C23" s="519">
        <f t="shared" si="0"/>
        <v>76938.191138632625</v>
      </c>
      <c r="D23" s="496">
        <v>61651.768662641698</v>
      </c>
      <c r="E23" s="496">
        <v>0</v>
      </c>
      <c r="F23" s="496">
        <v>15286.422475990919</v>
      </c>
      <c r="G23" s="518">
        <v>0</v>
      </c>
      <c r="H23" s="519">
        <f t="shared" si="1"/>
        <v>12374.95</v>
      </c>
      <c r="I23" s="496">
        <v>364.61999999999995</v>
      </c>
      <c r="J23" s="496">
        <v>0</v>
      </c>
      <c r="K23" s="496">
        <v>12010.33</v>
      </c>
      <c r="L23" s="518">
        <v>0</v>
      </c>
    </row>
    <row r="24" spans="1:12">
      <c r="A24" s="65">
        <v>18</v>
      </c>
      <c r="B24" s="71" t="s">
        <v>465</v>
      </c>
      <c r="C24" s="519">
        <f t="shared" si="0"/>
        <v>110255.89306495679</v>
      </c>
      <c r="D24" s="496">
        <v>105022.7414083653</v>
      </c>
      <c r="E24" s="496">
        <v>0</v>
      </c>
      <c r="F24" s="496">
        <v>5233.1516565914972</v>
      </c>
      <c r="G24" s="518">
        <v>0</v>
      </c>
      <c r="H24" s="519">
        <f t="shared" si="1"/>
        <v>5194.49</v>
      </c>
      <c r="I24" s="496">
        <v>1083.02</v>
      </c>
      <c r="J24" s="496">
        <v>0</v>
      </c>
      <c r="K24" s="496">
        <v>4111.47</v>
      </c>
      <c r="L24" s="518">
        <v>0</v>
      </c>
    </row>
    <row r="25" spans="1:12">
      <c r="A25" s="65">
        <v>19</v>
      </c>
      <c r="B25" s="71" t="s">
        <v>466</v>
      </c>
      <c r="C25" s="519">
        <f t="shared" si="0"/>
        <v>2996762.4902194948</v>
      </c>
      <c r="D25" s="496">
        <v>2760866.8571796757</v>
      </c>
      <c r="E25" s="496">
        <v>172717.44900712548</v>
      </c>
      <c r="F25" s="496">
        <v>63178.184032693622</v>
      </c>
      <c r="G25" s="518">
        <v>0</v>
      </c>
      <c r="H25" s="519">
        <f t="shared" si="1"/>
        <v>87429.500000000015</v>
      </c>
      <c r="I25" s="496">
        <v>22124.200000000012</v>
      </c>
      <c r="J25" s="496">
        <v>15576.470000000003</v>
      </c>
      <c r="K25" s="496">
        <v>49728.83</v>
      </c>
      <c r="L25" s="518">
        <v>0</v>
      </c>
    </row>
    <row r="26" spans="1:12">
      <c r="A26" s="65">
        <v>20</v>
      </c>
      <c r="B26" s="71" t="s">
        <v>467</v>
      </c>
      <c r="C26" s="519">
        <f t="shared" si="0"/>
        <v>2363977.7808257383</v>
      </c>
      <c r="D26" s="496">
        <v>2137253.113647874</v>
      </c>
      <c r="E26" s="496">
        <v>154066.30131702035</v>
      </c>
      <c r="F26" s="496">
        <v>72658.365860843915</v>
      </c>
      <c r="G26" s="518">
        <v>0</v>
      </c>
      <c r="H26" s="519">
        <f t="shared" si="1"/>
        <v>69043.19</v>
      </c>
      <c r="I26" s="496">
        <v>18937.060000000001</v>
      </c>
      <c r="J26" s="496">
        <v>5438.29</v>
      </c>
      <c r="K26" s="496">
        <v>44667.840000000004</v>
      </c>
      <c r="L26" s="518">
        <v>0</v>
      </c>
    </row>
    <row r="27" spans="1:12">
      <c r="A27" s="65">
        <v>21</v>
      </c>
      <c r="B27" s="71" t="s">
        <v>468</v>
      </c>
      <c r="C27" s="519">
        <f t="shared" si="0"/>
        <v>374591.37471554533</v>
      </c>
      <c r="D27" s="496">
        <v>297534.59449643339</v>
      </c>
      <c r="E27" s="496">
        <v>77056.780219111941</v>
      </c>
      <c r="F27" s="496">
        <v>0</v>
      </c>
      <c r="G27" s="518">
        <v>0</v>
      </c>
      <c r="H27" s="519">
        <f t="shared" si="1"/>
        <v>3543.7200000000003</v>
      </c>
      <c r="I27" s="496">
        <v>2065.5</v>
      </c>
      <c r="J27" s="496">
        <v>1478.22</v>
      </c>
      <c r="K27" s="496">
        <v>0</v>
      </c>
      <c r="L27" s="518">
        <v>0</v>
      </c>
    </row>
    <row r="28" spans="1:12">
      <c r="A28" s="65">
        <v>22</v>
      </c>
      <c r="B28" s="71" t="s">
        <v>469</v>
      </c>
      <c r="C28" s="519">
        <f t="shared" si="0"/>
        <v>103510.81452943636</v>
      </c>
      <c r="D28" s="496">
        <v>42753.529915280604</v>
      </c>
      <c r="E28" s="496">
        <v>32490.030889183436</v>
      </c>
      <c r="F28" s="496">
        <v>28267.253724972325</v>
      </c>
      <c r="G28" s="518">
        <v>0</v>
      </c>
      <c r="H28" s="519">
        <f t="shared" si="1"/>
        <v>23550.02</v>
      </c>
      <c r="I28" s="496">
        <v>386.93</v>
      </c>
      <c r="J28" s="496">
        <v>968.62</v>
      </c>
      <c r="K28" s="496">
        <v>22194.47</v>
      </c>
      <c r="L28" s="518">
        <v>0</v>
      </c>
    </row>
    <row r="29" spans="1:12">
      <c r="A29" s="65">
        <v>23</v>
      </c>
      <c r="B29" s="71" t="s">
        <v>470</v>
      </c>
      <c r="C29" s="519">
        <f t="shared" si="0"/>
        <v>64016666.208367519</v>
      </c>
      <c r="D29" s="496">
        <v>57376019.140815422</v>
      </c>
      <c r="E29" s="496">
        <v>3337937.1965684695</v>
      </c>
      <c r="F29" s="496">
        <v>3302709.87098363</v>
      </c>
      <c r="G29" s="518">
        <v>0</v>
      </c>
      <c r="H29" s="519">
        <f t="shared" si="1"/>
        <v>2783120.11</v>
      </c>
      <c r="I29" s="496">
        <v>449331.3599999994</v>
      </c>
      <c r="J29" s="496">
        <v>202907.97999999989</v>
      </c>
      <c r="K29" s="496">
        <v>2130880.7700000005</v>
      </c>
      <c r="L29" s="518">
        <v>0</v>
      </c>
    </row>
    <row r="30" spans="1:12">
      <c r="A30" s="65">
        <v>24</v>
      </c>
      <c r="B30" s="71" t="s">
        <v>471</v>
      </c>
      <c r="C30" s="519">
        <f t="shared" si="0"/>
        <v>77945254.780197799</v>
      </c>
      <c r="D30" s="496">
        <v>69500408.604227468</v>
      </c>
      <c r="E30" s="496">
        <v>4491770.2058682982</v>
      </c>
      <c r="F30" s="496">
        <v>3953075.9701020322</v>
      </c>
      <c r="G30" s="518">
        <v>0</v>
      </c>
      <c r="H30" s="519">
        <f t="shared" si="1"/>
        <v>3997358.4800000032</v>
      </c>
      <c r="I30" s="496">
        <v>498337.46000000119</v>
      </c>
      <c r="J30" s="496">
        <v>388919.66000000015</v>
      </c>
      <c r="K30" s="496">
        <v>3110101.3600000017</v>
      </c>
      <c r="L30" s="518">
        <v>0</v>
      </c>
    </row>
    <row r="31" spans="1:12">
      <c r="A31" s="65">
        <v>25</v>
      </c>
      <c r="B31" s="71" t="s">
        <v>472</v>
      </c>
      <c r="C31" s="519">
        <f t="shared" si="0"/>
        <v>357786562.03116286</v>
      </c>
      <c r="D31" s="496">
        <v>329098604.71694148</v>
      </c>
      <c r="E31" s="496">
        <v>17443499.049656305</v>
      </c>
      <c r="F31" s="496">
        <v>11244458.264565025</v>
      </c>
      <c r="G31" s="518">
        <v>0</v>
      </c>
      <c r="H31" s="519">
        <f t="shared" si="1"/>
        <v>11073226.080000021</v>
      </c>
      <c r="I31" s="496">
        <v>1964055.7900000331</v>
      </c>
      <c r="J31" s="496">
        <v>1229340.3499999994</v>
      </c>
      <c r="K31" s="496">
        <v>7879829.9399999892</v>
      </c>
      <c r="L31" s="518">
        <v>0</v>
      </c>
    </row>
    <row r="32" spans="1:12">
      <c r="A32" s="65">
        <v>26</v>
      </c>
      <c r="B32" s="71" t="s">
        <v>527</v>
      </c>
      <c r="C32" s="519">
        <f t="shared" si="0"/>
        <v>0</v>
      </c>
      <c r="D32" s="496">
        <v>0</v>
      </c>
      <c r="E32" s="496">
        <v>0</v>
      </c>
      <c r="F32" s="496">
        <v>0</v>
      </c>
      <c r="G32" s="518">
        <v>0</v>
      </c>
      <c r="H32" s="519">
        <f t="shared" si="1"/>
        <v>0</v>
      </c>
      <c r="I32" s="496">
        <v>0</v>
      </c>
      <c r="J32" s="496">
        <v>0</v>
      </c>
      <c r="K32" s="496">
        <v>0</v>
      </c>
      <c r="L32" s="518">
        <v>0</v>
      </c>
    </row>
    <row r="33" spans="1:15" s="522" customFormat="1">
      <c r="A33" s="66">
        <v>27</v>
      </c>
      <c r="B33" s="89" t="s">
        <v>59</v>
      </c>
      <c r="C33" s="520">
        <f>SUM(C7:C32)</f>
        <v>579622653.20310819</v>
      </c>
      <c r="D33" s="495">
        <f t="shared" ref="D33:L33" si="2">SUM(D7:D32)</f>
        <v>527370205.20292246</v>
      </c>
      <c r="E33" s="495">
        <f t="shared" si="2"/>
        <v>30771174.373298965</v>
      </c>
      <c r="F33" s="521">
        <f t="shared" si="2"/>
        <v>21481273.626886711</v>
      </c>
      <c r="G33" s="521">
        <f t="shared" si="2"/>
        <v>0</v>
      </c>
      <c r="H33" s="495">
        <f t="shared" si="2"/>
        <v>20944947.480000027</v>
      </c>
      <c r="I33" s="521">
        <f t="shared" si="2"/>
        <v>3502491.0900000343</v>
      </c>
      <c r="J33" s="521">
        <f t="shared" si="2"/>
        <v>2198549.0199999996</v>
      </c>
      <c r="K33" s="521">
        <f t="shared" si="2"/>
        <v>15243907.36999999</v>
      </c>
      <c r="L33" s="521">
        <f t="shared" si="2"/>
        <v>0</v>
      </c>
    </row>
    <row r="34" spans="1:15">
      <c r="F34" s="70"/>
      <c r="G34" s="70"/>
      <c r="I34" s="70"/>
      <c r="J34" s="70"/>
      <c r="K34" s="70"/>
      <c r="L34" s="70"/>
    </row>
    <row r="35" spans="1:15">
      <c r="B35" s="88"/>
      <c r="C35" s="88"/>
      <c r="D35" s="88"/>
      <c r="E35" s="88"/>
      <c r="F35" s="88"/>
      <c r="G35" s="88"/>
      <c r="H35" s="88"/>
      <c r="I35" s="88"/>
      <c r="J35" s="88"/>
      <c r="K35" s="88"/>
      <c r="L35" s="88"/>
      <c r="M35" s="88"/>
      <c r="N35" s="88"/>
      <c r="O35" s="88"/>
    </row>
    <row r="36" spans="1:15">
      <c r="F36" s="70"/>
      <c r="G36" s="70"/>
      <c r="I36" s="70"/>
      <c r="J36" s="70"/>
      <c r="K36" s="70"/>
      <c r="L36" s="70"/>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13"/>
  <sheetViews>
    <sheetView showGridLines="0" zoomScale="80" zoomScaleNormal="80" workbookViewId="0">
      <pane xSplit="2" ySplit="5" topLeftCell="C6" activePane="bottomRight" state="frozen"/>
      <selection activeCell="C24" sqref="C24"/>
      <selection pane="topRight" activeCell="C24" sqref="C24"/>
      <selection pane="bottomLeft" activeCell="C24" sqref="C24"/>
      <selection pane="bottomRight" activeCell="C6" sqref="C6:K11"/>
    </sheetView>
  </sheetViews>
  <sheetFormatPr defaultColWidth="8.77734375" defaultRowHeight="12"/>
  <cols>
    <col min="1" max="1" width="12.77734375" style="529" bestFit="1" customWidth="1"/>
    <col min="2" max="2" width="57.88671875" style="529" bestFit="1" customWidth="1"/>
    <col min="3" max="11" width="28.21875" style="529" customWidth="1"/>
    <col min="12" max="16384" width="8.77734375" style="529"/>
  </cols>
  <sheetData>
    <row r="1" spans="1:11" s="510" customFormat="1" ht="13.8">
      <c r="A1" s="336" t="s">
        <v>869</v>
      </c>
      <c r="B1" s="338" t="str">
        <f>Info!C2</f>
        <v>კრისტალი</v>
      </c>
      <c r="C1" s="497"/>
      <c r="D1" s="497"/>
      <c r="E1" s="497"/>
      <c r="F1" s="497"/>
      <c r="G1" s="497"/>
      <c r="H1" s="497"/>
      <c r="I1" s="497"/>
      <c r="J1" s="497"/>
      <c r="K1" s="497"/>
    </row>
    <row r="2" spans="1:11" s="510" customFormat="1" ht="13.8">
      <c r="A2" s="336" t="s">
        <v>88</v>
      </c>
      <c r="B2" s="337">
        <f>'1. key ratios'!B2</f>
        <v>46112</v>
      </c>
      <c r="C2" s="497"/>
      <c r="D2" s="497"/>
      <c r="E2" s="497"/>
      <c r="F2" s="497"/>
      <c r="G2" s="497"/>
      <c r="H2" s="497"/>
      <c r="I2" s="497"/>
      <c r="J2" s="497"/>
      <c r="K2" s="497"/>
    </row>
    <row r="3" spans="1:11" s="510" customFormat="1">
      <c r="A3" s="498" t="s">
        <v>528</v>
      </c>
      <c r="B3" s="497"/>
      <c r="C3" s="497"/>
      <c r="D3" s="497"/>
      <c r="E3" s="497"/>
      <c r="F3" s="497"/>
      <c r="G3" s="497"/>
      <c r="H3" s="497"/>
      <c r="I3" s="497"/>
      <c r="J3" s="497"/>
      <c r="K3" s="497"/>
    </row>
    <row r="4" spans="1:11">
      <c r="A4" s="528"/>
      <c r="B4" s="528"/>
      <c r="C4" s="92" t="s">
        <v>433</v>
      </c>
      <c r="D4" s="92" t="s">
        <v>434</v>
      </c>
      <c r="E4" s="92" t="s">
        <v>435</v>
      </c>
      <c r="F4" s="92" t="s">
        <v>436</v>
      </c>
      <c r="G4" s="92" t="s">
        <v>437</v>
      </c>
      <c r="H4" s="92" t="s">
        <v>438</v>
      </c>
      <c r="I4" s="92" t="s">
        <v>439</v>
      </c>
      <c r="J4" s="92" t="s">
        <v>440</v>
      </c>
      <c r="K4" s="92" t="s">
        <v>441</v>
      </c>
    </row>
    <row r="5" spans="1:11" ht="103.8" customHeight="1">
      <c r="A5" s="893" t="s">
        <v>817</v>
      </c>
      <c r="B5" s="894"/>
      <c r="C5" s="91" t="s">
        <v>529</v>
      </c>
      <c r="D5" s="91" t="s">
        <v>523</v>
      </c>
      <c r="E5" s="91" t="s">
        <v>915</v>
      </c>
      <c r="F5" s="91" t="s">
        <v>816</v>
      </c>
      <c r="G5" s="91" t="s">
        <v>530</v>
      </c>
      <c r="H5" s="91" t="s">
        <v>531</v>
      </c>
      <c r="I5" s="91" t="s">
        <v>532</v>
      </c>
      <c r="J5" s="91" t="s">
        <v>533</v>
      </c>
      <c r="K5" s="91" t="s">
        <v>534</v>
      </c>
    </row>
    <row r="6" spans="1:11">
      <c r="A6" s="503">
        <v>1</v>
      </c>
      <c r="B6" s="503" t="s">
        <v>535</v>
      </c>
      <c r="C6" s="506">
        <v>0</v>
      </c>
      <c r="D6" s="506">
        <v>0</v>
      </c>
      <c r="E6" s="506">
        <v>0</v>
      </c>
      <c r="F6" s="506">
        <v>16224895.71805761</v>
      </c>
      <c r="G6" s="506">
        <v>63310202.400064245</v>
      </c>
      <c r="H6" s="506">
        <v>0</v>
      </c>
      <c r="I6" s="506">
        <v>74847132.669286788</v>
      </c>
      <c r="J6" s="506">
        <v>14934633.459575834</v>
      </c>
      <c r="K6" s="506">
        <v>410305788.9561246</v>
      </c>
    </row>
    <row r="7" spans="1:11">
      <c r="A7" s="503">
        <v>2</v>
      </c>
      <c r="B7" s="503" t="s">
        <v>536</v>
      </c>
      <c r="C7" s="506">
        <v>0</v>
      </c>
      <c r="D7" s="506">
        <v>0</v>
      </c>
      <c r="E7" s="506">
        <v>0</v>
      </c>
      <c r="F7" s="506">
        <v>0</v>
      </c>
      <c r="G7" s="506">
        <v>0</v>
      </c>
      <c r="H7" s="506">
        <v>0</v>
      </c>
      <c r="I7" s="506">
        <v>0</v>
      </c>
      <c r="J7" s="506">
        <v>0</v>
      </c>
      <c r="K7" s="506">
        <v>0</v>
      </c>
    </row>
    <row r="8" spans="1:11">
      <c r="A8" s="503">
        <v>3</v>
      </c>
      <c r="B8" s="503" t="s">
        <v>501</v>
      </c>
      <c r="C8" s="506">
        <v>0</v>
      </c>
      <c r="D8" s="506">
        <v>0</v>
      </c>
      <c r="E8" s="506">
        <v>0</v>
      </c>
      <c r="F8" s="506">
        <v>0</v>
      </c>
      <c r="G8" s="506">
        <v>0</v>
      </c>
      <c r="H8" s="506">
        <v>0</v>
      </c>
      <c r="I8" s="506">
        <v>0</v>
      </c>
      <c r="J8" s="506">
        <v>0</v>
      </c>
      <c r="K8" s="506">
        <v>0</v>
      </c>
    </row>
    <row r="9" spans="1:11">
      <c r="A9" s="503">
        <v>4</v>
      </c>
      <c r="B9" s="504" t="s">
        <v>815</v>
      </c>
      <c r="C9" s="526">
        <v>0</v>
      </c>
      <c r="D9" s="526">
        <v>0</v>
      </c>
      <c r="E9" s="526">
        <v>0</v>
      </c>
      <c r="F9" s="526">
        <v>192588.60846698753</v>
      </c>
      <c r="G9" s="526">
        <v>2049799.0308876375</v>
      </c>
      <c r="H9" s="526">
        <v>0</v>
      </c>
      <c r="I9" s="526">
        <v>1792660.7631130898</v>
      </c>
      <c r="J9" s="526">
        <v>1281066.631941627</v>
      </c>
      <c r="K9" s="526">
        <v>16165158.59247737</v>
      </c>
    </row>
    <row r="10" spans="1:11">
      <c r="A10" s="503">
        <v>5</v>
      </c>
      <c r="B10" s="504" t="s">
        <v>814</v>
      </c>
      <c r="C10" s="526">
        <v>0</v>
      </c>
      <c r="D10" s="526">
        <v>0</v>
      </c>
      <c r="E10" s="526">
        <v>0</v>
      </c>
      <c r="F10" s="526">
        <v>0</v>
      </c>
      <c r="G10" s="526">
        <v>0</v>
      </c>
      <c r="H10" s="526">
        <v>0</v>
      </c>
      <c r="I10" s="526">
        <v>0</v>
      </c>
      <c r="J10" s="526">
        <v>0</v>
      </c>
      <c r="K10" s="526">
        <v>0</v>
      </c>
    </row>
    <row r="11" spans="1:11">
      <c r="A11" s="503">
        <v>6</v>
      </c>
      <c r="B11" s="504" t="s">
        <v>813</v>
      </c>
      <c r="C11" s="526">
        <v>0</v>
      </c>
      <c r="D11" s="526">
        <v>0</v>
      </c>
      <c r="E11" s="526">
        <v>0</v>
      </c>
      <c r="F11" s="526">
        <v>0</v>
      </c>
      <c r="G11" s="526">
        <v>0</v>
      </c>
      <c r="H11" s="526">
        <v>0</v>
      </c>
      <c r="I11" s="526">
        <v>0</v>
      </c>
      <c r="J11" s="526">
        <v>0</v>
      </c>
      <c r="K11" s="526">
        <v>0</v>
      </c>
    </row>
    <row r="12" spans="1:11">
      <c r="K12" s="530"/>
    </row>
    <row r="13" spans="1:11" ht="13.8">
      <c r="B13" s="531"/>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2"/>
  <sheetViews>
    <sheetView zoomScale="70" zoomScaleNormal="70" workbookViewId="0">
      <pane xSplit="2" ySplit="6" topLeftCell="C42" activePane="bottomRight" state="frozen"/>
      <selection activeCell="C24" sqref="C24"/>
      <selection pane="topRight" activeCell="C24" sqref="C24"/>
      <selection pane="bottomLeft" activeCell="C24" sqref="C24"/>
      <selection pane="bottomRight" activeCell="A3" sqref="A3"/>
    </sheetView>
  </sheetViews>
  <sheetFormatPr defaultRowHeight="13.8"/>
  <cols>
    <col min="1" max="1" width="13.44140625" style="8" bestFit="1" customWidth="1"/>
    <col min="2" max="2" width="69.21875" style="370" customWidth="1"/>
    <col min="3" max="3" width="13.6640625" style="9" customWidth="1"/>
    <col min="4" max="4" width="14.44140625" style="9" customWidth="1"/>
    <col min="5" max="8" width="13.21875" style="9" customWidth="1"/>
    <col min="9" max="9" width="11.77734375" style="339" customWidth="1"/>
    <col min="10" max="10" width="12" style="339" customWidth="1"/>
    <col min="11" max="11" width="10.33203125" style="339" customWidth="1"/>
    <col min="12" max="12" width="12" style="339" bestFit="1" customWidth="1"/>
    <col min="13" max="13" width="8.88671875" style="339"/>
    <col min="14" max="14" width="12" style="339" bestFit="1" customWidth="1"/>
    <col min="15" max="15" width="11" style="339" bestFit="1" customWidth="1"/>
    <col min="16" max="16" width="7.33203125" style="339" customWidth="1"/>
    <col min="17" max="17" width="11" style="339" bestFit="1" customWidth="1"/>
    <col min="18" max="18" width="9.5546875" style="339" customWidth="1"/>
    <col min="19" max="16384" width="8.88671875" style="339"/>
  </cols>
  <sheetData>
    <row r="1" spans="1:8">
      <c r="A1" s="336" t="s">
        <v>869</v>
      </c>
      <c r="B1" s="338" t="str">
        <f>Info!C2</f>
        <v>კრისტალი</v>
      </c>
      <c r="C1" s="335"/>
    </row>
    <row r="2" spans="1:8">
      <c r="A2" s="336" t="s">
        <v>88</v>
      </c>
      <c r="B2" s="337">
        <f>'1. key ratios'!B2</f>
        <v>46112</v>
      </c>
      <c r="C2" s="335"/>
    </row>
    <row r="3" spans="1:8">
      <c r="A3" s="334"/>
      <c r="B3" s="335"/>
      <c r="C3" s="335"/>
    </row>
    <row r="4" spans="1:8" ht="21" customHeight="1">
      <c r="A4" s="787" t="s">
        <v>25</v>
      </c>
      <c r="B4" s="788" t="s">
        <v>651</v>
      </c>
      <c r="C4" s="788" t="s">
        <v>93</v>
      </c>
      <c r="D4" s="788"/>
      <c r="E4" s="788"/>
      <c r="F4" s="788" t="s">
        <v>94</v>
      </c>
      <c r="G4" s="788"/>
      <c r="H4" s="788"/>
    </row>
    <row r="5" spans="1:8" ht="21" customHeight="1">
      <c r="A5" s="787"/>
      <c r="B5" s="788"/>
      <c r="C5" s="355" t="s">
        <v>26</v>
      </c>
      <c r="D5" s="355" t="s">
        <v>70</v>
      </c>
      <c r="E5" s="355" t="s">
        <v>59</v>
      </c>
      <c r="F5" s="355" t="s">
        <v>26</v>
      </c>
      <c r="G5" s="355" t="s">
        <v>70</v>
      </c>
      <c r="H5" s="355" t="s">
        <v>59</v>
      </c>
    </row>
    <row r="6" spans="1:8" ht="26.55" customHeight="1">
      <c r="A6" s="787"/>
      <c r="B6" s="354" t="s">
        <v>76</v>
      </c>
      <c r="C6" s="789"/>
      <c r="D6" s="789"/>
      <c r="E6" s="789"/>
      <c r="F6" s="789"/>
      <c r="G6" s="789"/>
      <c r="H6" s="789"/>
    </row>
    <row r="7" spans="1:8" ht="22.95" customHeight="1">
      <c r="A7" s="372">
        <v>1</v>
      </c>
      <c r="B7" s="373" t="s">
        <v>763</v>
      </c>
      <c r="C7" s="712">
        <f>SUM(C8:C10)</f>
        <v>17443004.699999996</v>
      </c>
      <c r="D7" s="352">
        <f>SUM(D8:D10)</f>
        <v>36515777.301200002</v>
      </c>
      <c r="E7" s="356">
        <f>C7+D7</f>
        <v>53958782.001199998</v>
      </c>
      <c r="F7" s="352">
        <f>SUM(F8:F10)</f>
        <v>0</v>
      </c>
      <c r="G7" s="352">
        <f>SUM(G8:G10)</f>
        <v>0</v>
      </c>
      <c r="H7" s="356">
        <f>F7+G7</f>
        <v>0</v>
      </c>
    </row>
    <row r="8" spans="1:8">
      <c r="A8" s="353">
        <v>1.1000000000000001</v>
      </c>
      <c r="B8" s="358" t="s">
        <v>77</v>
      </c>
      <c r="C8" s="712">
        <v>8760331.5499999989</v>
      </c>
      <c r="D8" s="712">
        <v>13283599.971100004</v>
      </c>
      <c r="E8" s="356">
        <f t="shared" ref="E8:E36" si="0">C8+D8</f>
        <v>22043931.521100003</v>
      </c>
      <c r="F8" s="352"/>
      <c r="G8" s="352"/>
      <c r="H8" s="356">
        <f t="shared" ref="H8:H36" si="1">F8+G8</f>
        <v>0</v>
      </c>
    </row>
    <row r="9" spans="1:8">
      <c r="A9" s="353">
        <v>1.2</v>
      </c>
      <c r="B9" s="358" t="s">
        <v>78</v>
      </c>
      <c r="C9" s="712">
        <v>5414607.6399999997</v>
      </c>
      <c r="D9" s="712">
        <v>21590491.3838</v>
      </c>
      <c r="E9" s="356">
        <f t="shared" si="0"/>
        <v>27005099.023800001</v>
      </c>
      <c r="F9" s="352"/>
      <c r="G9" s="352"/>
      <c r="H9" s="356">
        <f t="shared" si="1"/>
        <v>0</v>
      </c>
    </row>
    <row r="10" spans="1:8">
      <c r="A10" s="353">
        <v>1.3</v>
      </c>
      <c r="B10" s="358" t="s">
        <v>901</v>
      </c>
      <c r="C10" s="712">
        <v>3268065.51</v>
      </c>
      <c r="D10" s="712">
        <v>1641685.9463</v>
      </c>
      <c r="E10" s="356">
        <f t="shared" si="0"/>
        <v>4909751.4562999997</v>
      </c>
      <c r="F10" s="352"/>
      <c r="G10" s="352"/>
      <c r="H10" s="356">
        <f t="shared" si="1"/>
        <v>0</v>
      </c>
    </row>
    <row r="11" spans="1:8">
      <c r="A11" s="353">
        <v>2</v>
      </c>
      <c r="B11" s="359" t="s">
        <v>652</v>
      </c>
      <c r="C11" s="712">
        <v>0</v>
      </c>
      <c r="D11" s="712">
        <v>0</v>
      </c>
      <c r="E11" s="356">
        <f t="shared" si="0"/>
        <v>0</v>
      </c>
      <c r="F11" s="352"/>
      <c r="G11" s="352"/>
      <c r="H11" s="356">
        <f t="shared" si="1"/>
        <v>0</v>
      </c>
    </row>
    <row r="12" spans="1:8">
      <c r="A12" s="353">
        <v>2.1</v>
      </c>
      <c r="B12" s="360" t="s">
        <v>653</v>
      </c>
      <c r="C12" s="712">
        <v>0</v>
      </c>
      <c r="D12" s="712">
        <v>0</v>
      </c>
      <c r="E12" s="356">
        <f t="shared" si="0"/>
        <v>0</v>
      </c>
      <c r="F12" s="352"/>
      <c r="G12" s="352"/>
      <c r="H12" s="356">
        <f t="shared" si="1"/>
        <v>0</v>
      </c>
    </row>
    <row r="13" spans="1:8" ht="26.55" customHeight="1">
      <c r="A13" s="353">
        <v>3</v>
      </c>
      <c r="B13" s="361" t="s">
        <v>654</v>
      </c>
      <c r="C13" s="712">
        <v>0</v>
      </c>
      <c r="D13" s="712">
        <v>0</v>
      </c>
      <c r="E13" s="356">
        <f t="shared" si="0"/>
        <v>0</v>
      </c>
      <c r="F13" s="352"/>
      <c r="G13" s="352"/>
      <c r="H13" s="356">
        <f t="shared" si="1"/>
        <v>0</v>
      </c>
    </row>
    <row r="14" spans="1:8" ht="26.55" customHeight="1">
      <c r="A14" s="353">
        <v>4</v>
      </c>
      <c r="B14" s="348" t="s">
        <v>655</v>
      </c>
      <c r="C14" s="712">
        <v>0</v>
      </c>
      <c r="D14" s="712">
        <v>0</v>
      </c>
      <c r="E14" s="356">
        <f t="shared" si="0"/>
        <v>0</v>
      </c>
      <c r="F14" s="352"/>
      <c r="G14" s="352"/>
      <c r="H14" s="356">
        <f t="shared" si="1"/>
        <v>0</v>
      </c>
    </row>
    <row r="15" spans="1:8" ht="24.45" customHeight="1">
      <c r="A15" s="353">
        <v>5</v>
      </c>
      <c r="B15" s="348" t="s">
        <v>656</v>
      </c>
      <c r="C15" s="712">
        <f>SUM(C16:C18)</f>
        <v>0</v>
      </c>
      <c r="D15" s="712">
        <f>SUM(D16:D18)</f>
        <v>0</v>
      </c>
      <c r="E15" s="356">
        <f t="shared" si="0"/>
        <v>0</v>
      </c>
      <c r="F15" s="352">
        <f>SUM(F16:F18)</f>
        <v>0</v>
      </c>
      <c r="G15" s="352">
        <f>SUM(G16:G18)</f>
        <v>0</v>
      </c>
      <c r="H15" s="356">
        <f t="shared" si="1"/>
        <v>0</v>
      </c>
    </row>
    <row r="16" spans="1:8">
      <c r="A16" s="353">
        <v>5.0999999999999996</v>
      </c>
      <c r="B16" s="362" t="s">
        <v>657</v>
      </c>
      <c r="C16" s="712">
        <v>0</v>
      </c>
      <c r="D16" s="712">
        <v>0</v>
      </c>
      <c r="E16" s="356">
        <f t="shared" si="0"/>
        <v>0</v>
      </c>
      <c r="F16" s="352"/>
      <c r="G16" s="352"/>
      <c r="H16" s="356">
        <f t="shared" si="1"/>
        <v>0</v>
      </c>
    </row>
    <row r="17" spans="1:8">
      <c r="A17" s="353">
        <v>5.2</v>
      </c>
      <c r="B17" s="362" t="s">
        <v>500</v>
      </c>
      <c r="C17" s="712">
        <v>0</v>
      </c>
      <c r="D17" s="712">
        <v>0</v>
      </c>
      <c r="E17" s="356">
        <f t="shared" si="0"/>
        <v>0</v>
      </c>
      <c r="F17" s="352"/>
      <c r="G17" s="352"/>
      <c r="H17" s="356">
        <f t="shared" si="1"/>
        <v>0</v>
      </c>
    </row>
    <row r="18" spans="1:8">
      <c r="A18" s="353">
        <v>5.3</v>
      </c>
      <c r="B18" s="362" t="s">
        <v>658</v>
      </c>
      <c r="C18" s="712">
        <v>0</v>
      </c>
      <c r="D18" s="712">
        <v>0</v>
      </c>
      <c r="E18" s="356">
        <f t="shared" si="0"/>
        <v>0</v>
      </c>
      <c r="F18" s="352"/>
      <c r="G18" s="352"/>
      <c r="H18" s="356">
        <f t="shared" si="1"/>
        <v>0</v>
      </c>
    </row>
    <row r="19" spans="1:8">
      <c r="A19" s="353">
        <v>6</v>
      </c>
      <c r="B19" s="361" t="s">
        <v>659</v>
      </c>
      <c r="C19" s="712">
        <f>SUM(C20:C21)</f>
        <v>576753961.94992507</v>
      </c>
      <c r="D19" s="712">
        <f>SUM(D20:D21)</f>
        <v>16667.053099999997</v>
      </c>
      <c r="E19" s="356">
        <f t="shared" si="0"/>
        <v>576770629.00302505</v>
      </c>
      <c r="F19" s="352">
        <f>SUM(F20:F21)</f>
        <v>0</v>
      </c>
      <c r="G19" s="352">
        <f>SUM(G20:G21)</f>
        <v>0</v>
      </c>
      <c r="H19" s="356">
        <f t="shared" si="1"/>
        <v>0</v>
      </c>
    </row>
    <row r="20" spans="1:8">
      <c r="A20" s="353">
        <v>6.1</v>
      </c>
      <c r="B20" s="362" t="s">
        <v>500</v>
      </c>
      <c r="C20" s="712">
        <v>0</v>
      </c>
      <c r="D20" s="712">
        <v>0</v>
      </c>
      <c r="E20" s="356">
        <f t="shared" si="0"/>
        <v>0</v>
      </c>
      <c r="F20" s="352"/>
      <c r="G20" s="352"/>
      <c r="H20" s="356">
        <f t="shared" si="1"/>
        <v>0</v>
      </c>
    </row>
    <row r="21" spans="1:8">
      <c r="A21" s="353">
        <v>6.2</v>
      </c>
      <c r="B21" s="362" t="s">
        <v>658</v>
      </c>
      <c r="C21" s="712">
        <v>576753961.94992507</v>
      </c>
      <c r="D21" s="712">
        <v>16667.053099999997</v>
      </c>
      <c r="E21" s="356">
        <f t="shared" si="0"/>
        <v>576770629.00302505</v>
      </c>
      <c r="F21" s="352"/>
      <c r="G21" s="352"/>
      <c r="H21" s="356">
        <f t="shared" si="1"/>
        <v>0</v>
      </c>
    </row>
    <row r="22" spans="1:8">
      <c r="A22" s="353">
        <v>7</v>
      </c>
      <c r="B22" s="363" t="s">
        <v>660</v>
      </c>
      <c r="C22" s="712">
        <v>549791</v>
      </c>
      <c r="D22" s="712">
        <v>0</v>
      </c>
      <c r="E22" s="356">
        <f t="shared" si="0"/>
        <v>549791</v>
      </c>
      <c r="F22" s="352"/>
      <c r="G22" s="352"/>
      <c r="H22" s="356">
        <f t="shared" si="1"/>
        <v>0</v>
      </c>
    </row>
    <row r="23" spans="1:8" ht="27.6">
      <c r="A23" s="353">
        <v>8</v>
      </c>
      <c r="B23" s="363" t="s">
        <v>661</v>
      </c>
      <c r="C23" s="712">
        <v>0</v>
      </c>
      <c r="D23" s="712">
        <v>0</v>
      </c>
      <c r="E23" s="356">
        <f t="shared" si="0"/>
        <v>0</v>
      </c>
      <c r="F23" s="352"/>
      <c r="G23" s="352"/>
      <c r="H23" s="356">
        <f t="shared" si="1"/>
        <v>0</v>
      </c>
    </row>
    <row r="24" spans="1:8">
      <c r="A24" s="353">
        <v>9</v>
      </c>
      <c r="B24" s="348" t="s">
        <v>662</v>
      </c>
      <c r="C24" s="712">
        <f>SUM(C25:C26)</f>
        <v>25004401.72000001</v>
      </c>
      <c r="D24" s="712">
        <f>SUM(D25:D26)</f>
        <v>0</v>
      </c>
      <c r="E24" s="356">
        <f t="shared" si="0"/>
        <v>25004401.72000001</v>
      </c>
      <c r="F24" s="352">
        <f>SUM(F25:F26)</f>
        <v>0</v>
      </c>
      <c r="G24" s="352">
        <f>SUM(G25:G26)</f>
        <v>0</v>
      </c>
      <c r="H24" s="356">
        <f t="shared" si="1"/>
        <v>0</v>
      </c>
    </row>
    <row r="25" spans="1:8">
      <c r="A25" s="353">
        <v>9.1</v>
      </c>
      <c r="B25" s="346" t="s">
        <v>663</v>
      </c>
      <c r="C25" s="712">
        <v>25004401.72000001</v>
      </c>
      <c r="D25" s="712">
        <v>0</v>
      </c>
      <c r="E25" s="356">
        <f t="shared" si="0"/>
        <v>25004401.72000001</v>
      </c>
      <c r="F25" s="352"/>
      <c r="G25" s="352"/>
      <c r="H25" s="356">
        <f t="shared" si="1"/>
        <v>0</v>
      </c>
    </row>
    <row r="26" spans="1:8">
      <c r="A26" s="353">
        <v>9.1999999999999993</v>
      </c>
      <c r="B26" s="346" t="s">
        <v>664</v>
      </c>
      <c r="C26" s="712">
        <v>0</v>
      </c>
      <c r="D26" s="712">
        <v>0</v>
      </c>
      <c r="E26" s="356">
        <f t="shared" si="0"/>
        <v>0</v>
      </c>
      <c r="F26" s="352"/>
      <c r="G26" s="352"/>
      <c r="H26" s="356">
        <f t="shared" si="1"/>
        <v>0</v>
      </c>
    </row>
    <row r="27" spans="1:8">
      <c r="A27" s="353">
        <v>10</v>
      </c>
      <c r="B27" s="348" t="s">
        <v>36</v>
      </c>
      <c r="C27" s="712">
        <f>SUM(C28:C29)</f>
        <v>8430538.2199999988</v>
      </c>
      <c r="D27" s="712">
        <f>SUM(D28:D29)</f>
        <v>0</v>
      </c>
      <c r="E27" s="356">
        <f t="shared" si="0"/>
        <v>8430538.2199999988</v>
      </c>
      <c r="F27" s="352">
        <f>SUM(F28:F29)</f>
        <v>0</v>
      </c>
      <c r="G27" s="352">
        <f>SUM(G28:G29)</f>
        <v>0</v>
      </c>
      <c r="H27" s="356">
        <f t="shared" si="1"/>
        <v>0</v>
      </c>
    </row>
    <row r="28" spans="1:8">
      <c r="A28" s="353">
        <v>10.1</v>
      </c>
      <c r="B28" s="346" t="s">
        <v>665</v>
      </c>
      <c r="C28" s="712">
        <v>0</v>
      </c>
      <c r="D28" s="712">
        <v>0</v>
      </c>
      <c r="E28" s="356">
        <f t="shared" si="0"/>
        <v>0</v>
      </c>
      <c r="F28" s="352"/>
      <c r="G28" s="352"/>
      <c r="H28" s="356">
        <f t="shared" si="1"/>
        <v>0</v>
      </c>
    </row>
    <row r="29" spans="1:8">
      <c r="A29" s="353">
        <v>10.199999999999999</v>
      </c>
      <c r="B29" s="346" t="s">
        <v>666</v>
      </c>
      <c r="C29" s="712">
        <v>8430538.2199999988</v>
      </c>
      <c r="D29" s="712">
        <v>0</v>
      </c>
      <c r="E29" s="356">
        <f t="shared" si="0"/>
        <v>8430538.2199999988</v>
      </c>
      <c r="F29" s="352"/>
      <c r="G29" s="352"/>
      <c r="H29" s="356">
        <f t="shared" si="1"/>
        <v>0</v>
      </c>
    </row>
    <row r="30" spans="1:8">
      <c r="A30" s="353">
        <v>11</v>
      </c>
      <c r="B30" s="348" t="s">
        <v>667</v>
      </c>
      <c r="C30" s="712">
        <f>SUM(C31:C32)</f>
        <v>2791477.1500000004</v>
      </c>
      <c r="D30" s="712">
        <f>SUM(D31:D32)</f>
        <v>0</v>
      </c>
      <c r="E30" s="356">
        <f t="shared" si="0"/>
        <v>2791477.1500000004</v>
      </c>
      <c r="F30" s="352">
        <f>SUM(F31:F32)</f>
        <v>0</v>
      </c>
      <c r="G30" s="352">
        <f>SUM(G31:G32)</f>
        <v>0</v>
      </c>
      <c r="H30" s="356">
        <f t="shared" si="1"/>
        <v>0</v>
      </c>
    </row>
    <row r="31" spans="1:8">
      <c r="A31" s="353">
        <v>11.1</v>
      </c>
      <c r="B31" s="346" t="s">
        <v>668</v>
      </c>
      <c r="C31" s="712">
        <v>2377531.5300000003</v>
      </c>
      <c r="D31" s="712">
        <v>0</v>
      </c>
      <c r="E31" s="356">
        <f t="shared" si="0"/>
        <v>2377531.5300000003</v>
      </c>
      <c r="F31" s="352"/>
      <c r="G31" s="352"/>
      <c r="H31" s="356">
        <f t="shared" si="1"/>
        <v>0</v>
      </c>
    </row>
    <row r="32" spans="1:8">
      <c r="A32" s="353">
        <v>11.2</v>
      </c>
      <c r="B32" s="346" t="s">
        <v>669</v>
      </c>
      <c r="C32" s="712">
        <v>413945.62</v>
      </c>
      <c r="D32" s="712">
        <v>0</v>
      </c>
      <c r="E32" s="356">
        <f t="shared" si="0"/>
        <v>413945.62</v>
      </c>
      <c r="F32" s="352"/>
      <c r="G32" s="352"/>
      <c r="H32" s="356">
        <f t="shared" si="1"/>
        <v>0</v>
      </c>
    </row>
    <row r="33" spans="1:8">
      <c r="A33" s="353">
        <v>13</v>
      </c>
      <c r="B33" s="348" t="s">
        <v>79</v>
      </c>
      <c r="C33" s="712">
        <v>10071471.620000003</v>
      </c>
      <c r="D33" s="712">
        <v>1150842.466</v>
      </c>
      <c r="E33" s="356">
        <f t="shared" si="0"/>
        <v>11222314.086000003</v>
      </c>
      <c r="F33" s="352"/>
      <c r="G33" s="352"/>
      <c r="H33" s="356">
        <f t="shared" si="1"/>
        <v>0</v>
      </c>
    </row>
    <row r="34" spans="1:8">
      <c r="A34" s="353">
        <v>13.1</v>
      </c>
      <c r="B34" s="364" t="s">
        <v>670</v>
      </c>
      <c r="C34" s="712">
        <v>3168298.3799999994</v>
      </c>
      <c r="D34" s="712">
        <v>0</v>
      </c>
      <c r="E34" s="356">
        <f t="shared" si="0"/>
        <v>3168298.3799999994</v>
      </c>
      <c r="F34" s="352"/>
      <c r="G34" s="352"/>
      <c r="H34" s="356">
        <f t="shared" si="1"/>
        <v>0</v>
      </c>
    </row>
    <row r="35" spans="1:8">
      <c r="A35" s="353">
        <v>13.2</v>
      </c>
      <c r="B35" s="364" t="s">
        <v>671</v>
      </c>
      <c r="C35" s="352">
        <v>0</v>
      </c>
      <c r="D35" s="352">
        <v>0</v>
      </c>
      <c r="E35" s="356">
        <f t="shared" si="0"/>
        <v>0</v>
      </c>
      <c r="F35" s="352"/>
      <c r="G35" s="352"/>
      <c r="H35" s="356">
        <f t="shared" si="1"/>
        <v>0</v>
      </c>
    </row>
    <row r="36" spans="1:8">
      <c r="A36" s="353">
        <v>14</v>
      </c>
      <c r="B36" s="365" t="s">
        <v>672</v>
      </c>
      <c r="C36" s="352">
        <f>SUM(C7,C11,C13,C14,C15,C19,C22,C23,C24,C27,C30,C33)</f>
        <v>641044646.35992515</v>
      </c>
      <c r="D36" s="352">
        <f>SUM(D7,D11,D13,D14,D15,D19,D22,D23,D24,D27,D30,D33)</f>
        <v>37683286.820299998</v>
      </c>
      <c r="E36" s="356">
        <f t="shared" si="0"/>
        <v>678727933.18022513</v>
      </c>
      <c r="F36" s="352">
        <f>SUM(F7,F11,F13,F14,F15,F19,F22,F23,F24,F27,F30,F33)</f>
        <v>0</v>
      </c>
      <c r="G36" s="352">
        <f>SUM(G7,G11,G13,G14,G15,G19,G22,G23,G24,G27,G30,G33)</f>
        <v>0</v>
      </c>
      <c r="H36" s="356">
        <f t="shared" si="1"/>
        <v>0</v>
      </c>
    </row>
    <row r="37" spans="1:8" ht="22.5" customHeight="1">
      <c r="A37" s="64"/>
      <c r="B37" s="366" t="s">
        <v>84</v>
      </c>
      <c r="C37" s="781"/>
      <c r="D37" s="782"/>
      <c r="E37" s="782"/>
      <c r="F37" s="782"/>
      <c r="G37" s="782"/>
      <c r="H37" s="783"/>
    </row>
    <row r="38" spans="1:8">
      <c r="A38" s="64">
        <v>15</v>
      </c>
      <c r="B38" s="363" t="s">
        <v>673</v>
      </c>
      <c r="C38" s="341">
        <v>0</v>
      </c>
      <c r="D38" s="341">
        <v>0</v>
      </c>
      <c r="E38" s="342">
        <f>C38+D38</f>
        <v>0</v>
      </c>
      <c r="F38" s="341"/>
      <c r="G38" s="341"/>
      <c r="H38" s="342">
        <f>F38+G38</f>
        <v>0</v>
      </c>
    </row>
    <row r="39" spans="1:8">
      <c r="A39" s="64">
        <v>15.1</v>
      </c>
      <c r="B39" s="360" t="s">
        <v>653</v>
      </c>
      <c r="C39" s="341">
        <v>0</v>
      </c>
      <c r="D39" s="341">
        <v>0</v>
      </c>
      <c r="E39" s="342">
        <f t="shared" ref="E39:E53" si="2">C39+D39</f>
        <v>0</v>
      </c>
      <c r="F39" s="341"/>
      <c r="G39" s="341"/>
      <c r="H39" s="342">
        <f t="shared" ref="H39:H53" si="3">F39+G39</f>
        <v>0</v>
      </c>
    </row>
    <row r="40" spans="1:8" ht="24" customHeight="1">
      <c r="A40" s="64">
        <v>16</v>
      </c>
      <c r="B40" s="363" t="s">
        <v>674</v>
      </c>
      <c r="C40" s="687">
        <v>10169943.660000002</v>
      </c>
      <c r="D40" s="687">
        <v>0</v>
      </c>
      <c r="E40" s="342">
        <f t="shared" si="2"/>
        <v>10169943.660000002</v>
      </c>
      <c r="F40" s="341"/>
      <c r="G40" s="341"/>
      <c r="H40" s="342">
        <f t="shared" si="3"/>
        <v>0</v>
      </c>
    </row>
    <row r="41" spans="1:8" ht="27.6">
      <c r="A41" s="64">
        <v>17</v>
      </c>
      <c r="B41" s="363" t="s">
        <v>675</v>
      </c>
      <c r="C41" s="687">
        <f>SUM(C42:C45)</f>
        <v>271049858.75999886</v>
      </c>
      <c r="D41" s="687">
        <f>SUM(D42:D45)</f>
        <v>226762281.32870328</v>
      </c>
      <c r="E41" s="342">
        <f t="shared" si="2"/>
        <v>497812140.08870214</v>
      </c>
      <c r="F41" s="341">
        <f>SUM(F42:F45)</f>
        <v>0</v>
      </c>
      <c r="G41" s="341">
        <f>SUM(G42:G45)</f>
        <v>0</v>
      </c>
      <c r="H41" s="342">
        <f t="shared" si="3"/>
        <v>0</v>
      </c>
    </row>
    <row r="42" spans="1:8">
      <c r="A42" s="64">
        <v>17.100000000000001</v>
      </c>
      <c r="B42" s="367" t="s">
        <v>676</v>
      </c>
      <c r="C42" s="687">
        <v>25762309.929998845</v>
      </c>
      <c r="D42" s="687">
        <v>13042176.884899998</v>
      </c>
      <c r="E42" s="342">
        <f t="shared" si="2"/>
        <v>38804486.814898841</v>
      </c>
      <c r="F42" s="341"/>
      <c r="G42" s="341"/>
      <c r="H42" s="342">
        <f t="shared" si="3"/>
        <v>0</v>
      </c>
    </row>
    <row r="43" spans="1:8">
      <c r="A43" s="64">
        <v>17.2</v>
      </c>
      <c r="B43" s="358" t="s">
        <v>80</v>
      </c>
      <c r="C43" s="687">
        <v>199216143.38000003</v>
      </c>
      <c r="D43" s="687">
        <v>197363083.69850329</v>
      </c>
      <c r="E43" s="342">
        <f t="shared" si="2"/>
        <v>396579227.07850331</v>
      </c>
      <c r="F43" s="341"/>
      <c r="G43" s="341"/>
      <c r="H43" s="342">
        <f t="shared" si="3"/>
        <v>0</v>
      </c>
    </row>
    <row r="44" spans="1:8">
      <c r="A44" s="64">
        <v>17.3</v>
      </c>
      <c r="B44" s="367" t="s">
        <v>677</v>
      </c>
      <c r="C44" s="687">
        <v>41343589.62999998</v>
      </c>
      <c r="D44" s="687">
        <v>16147468.566499995</v>
      </c>
      <c r="E44" s="342">
        <f t="shared" si="2"/>
        <v>57491058.196499974</v>
      </c>
      <c r="F44" s="341"/>
      <c r="G44" s="341"/>
      <c r="H44" s="342">
        <f t="shared" si="3"/>
        <v>0</v>
      </c>
    </row>
    <row r="45" spans="1:8">
      <c r="A45" s="64">
        <v>17.399999999999999</v>
      </c>
      <c r="B45" s="367" t="s">
        <v>678</v>
      </c>
      <c r="C45" s="687">
        <v>4727815.8199999984</v>
      </c>
      <c r="D45" s="687">
        <v>209552.17880000002</v>
      </c>
      <c r="E45" s="342">
        <f t="shared" si="2"/>
        <v>4937367.9987999983</v>
      </c>
      <c r="F45" s="341"/>
      <c r="G45" s="341"/>
      <c r="H45" s="342">
        <f t="shared" si="3"/>
        <v>0</v>
      </c>
    </row>
    <row r="46" spans="1:8">
      <c r="A46" s="64">
        <v>18</v>
      </c>
      <c r="B46" s="348" t="s">
        <v>679</v>
      </c>
      <c r="C46" s="687">
        <v>202123.46000000002</v>
      </c>
      <c r="D46" s="687">
        <v>0</v>
      </c>
      <c r="E46" s="342">
        <f t="shared" si="2"/>
        <v>202123.46000000002</v>
      </c>
      <c r="F46" s="341"/>
      <c r="G46" s="341"/>
      <c r="H46" s="342">
        <f t="shared" si="3"/>
        <v>0</v>
      </c>
    </row>
    <row r="47" spans="1:8">
      <c r="A47" s="64">
        <v>19</v>
      </c>
      <c r="B47" s="348" t="s">
        <v>680</v>
      </c>
      <c r="C47" s="687">
        <f>SUM(C48:C49)</f>
        <v>0</v>
      </c>
      <c r="D47" s="687">
        <f>SUM(D48:D49)</f>
        <v>0</v>
      </c>
      <c r="E47" s="342">
        <f t="shared" si="2"/>
        <v>0</v>
      </c>
      <c r="F47" s="341">
        <f>SUM(F48:F49)</f>
        <v>0</v>
      </c>
      <c r="G47" s="341">
        <f>SUM(G48:G49)</f>
        <v>0</v>
      </c>
      <c r="H47" s="342">
        <f t="shared" si="3"/>
        <v>0</v>
      </c>
    </row>
    <row r="48" spans="1:8">
      <c r="A48" s="64">
        <v>19.100000000000001</v>
      </c>
      <c r="B48" s="343" t="s">
        <v>681</v>
      </c>
      <c r="C48" s="687">
        <v>0</v>
      </c>
      <c r="D48" s="687">
        <v>0</v>
      </c>
      <c r="E48" s="342">
        <f t="shared" si="2"/>
        <v>0</v>
      </c>
      <c r="F48" s="341"/>
      <c r="G48" s="341"/>
      <c r="H48" s="342">
        <f t="shared" si="3"/>
        <v>0</v>
      </c>
    </row>
    <row r="49" spans="1:8">
      <c r="A49" s="64">
        <v>19.2</v>
      </c>
      <c r="B49" s="343" t="s">
        <v>682</v>
      </c>
      <c r="C49" s="687">
        <v>0</v>
      </c>
      <c r="D49" s="687">
        <v>0</v>
      </c>
      <c r="E49" s="342">
        <f t="shared" si="2"/>
        <v>0</v>
      </c>
      <c r="F49" s="341"/>
      <c r="G49" s="341"/>
      <c r="H49" s="342">
        <f t="shared" si="3"/>
        <v>0</v>
      </c>
    </row>
    <row r="50" spans="1:8">
      <c r="A50" s="64">
        <v>20</v>
      </c>
      <c r="B50" s="365" t="s">
        <v>81</v>
      </c>
      <c r="C50" s="687">
        <v>0</v>
      </c>
      <c r="D50" s="687">
        <v>40668262.525700003</v>
      </c>
      <c r="E50" s="342">
        <f t="shared" si="2"/>
        <v>40668262.525700003</v>
      </c>
      <c r="F50" s="341"/>
      <c r="G50" s="341"/>
      <c r="H50" s="342">
        <f t="shared" si="3"/>
        <v>0</v>
      </c>
    </row>
    <row r="51" spans="1:8">
      <c r="A51" s="64">
        <v>21</v>
      </c>
      <c r="B51" s="359" t="s">
        <v>71</v>
      </c>
      <c r="C51" s="687">
        <v>1585548.14</v>
      </c>
      <c r="D51" s="687">
        <v>16653679.690799998</v>
      </c>
      <c r="E51" s="342">
        <f t="shared" si="2"/>
        <v>18239227.830799997</v>
      </c>
      <c r="F51" s="341"/>
      <c r="G51" s="341"/>
      <c r="H51" s="342">
        <f t="shared" si="3"/>
        <v>0</v>
      </c>
    </row>
    <row r="52" spans="1:8">
      <c r="A52" s="64">
        <v>21.1</v>
      </c>
      <c r="B52" s="358" t="s">
        <v>683</v>
      </c>
      <c r="C52" s="687">
        <v>0</v>
      </c>
      <c r="D52" s="687">
        <v>64562.828200000004</v>
      </c>
      <c r="E52" s="342">
        <f t="shared" si="2"/>
        <v>64562.828200000004</v>
      </c>
      <c r="F52" s="341"/>
      <c r="G52" s="341"/>
      <c r="H52" s="342">
        <f t="shared" si="3"/>
        <v>0</v>
      </c>
    </row>
    <row r="53" spans="1:8">
      <c r="A53" s="64">
        <v>22</v>
      </c>
      <c r="B53" s="365" t="s">
        <v>684</v>
      </c>
      <c r="C53" s="341">
        <f>SUM(C38,C40,C41,C46,C47,C50,C51)</f>
        <v>283007474.01999885</v>
      </c>
      <c r="D53" s="341">
        <f>SUM(D38,D40,D41,D46,D47,D50,D51)</f>
        <v>284084223.54520327</v>
      </c>
      <c r="E53" s="342">
        <f t="shared" si="2"/>
        <v>567091697.56520212</v>
      </c>
      <c r="F53" s="341">
        <f>SUM(F38,F40,F41,F46,F47,F50,F51)</f>
        <v>0</v>
      </c>
      <c r="G53" s="341">
        <f>SUM(G38,G40,G41,G46,G47,G50,G51)</f>
        <v>0</v>
      </c>
      <c r="H53" s="342">
        <f t="shared" si="3"/>
        <v>0</v>
      </c>
    </row>
    <row r="54" spans="1:8" ht="24" customHeight="1">
      <c r="A54" s="64"/>
      <c r="B54" s="368" t="s">
        <v>685</v>
      </c>
      <c r="C54" s="784"/>
      <c r="D54" s="785"/>
      <c r="E54" s="785"/>
      <c r="F54" s="785"/>
      <c r="G54" s="785"/>
      <c r="H54" s="786"/>
    </row>
    <row r="55" spans="1:8">
      <c r="A55" s="64">
        <v>23</v>
      </c>
      <c r="B55" s="365" t="s">
        <v>860</v>
      </c>
      <c r="C55" s="687">
        <v>3634576</v>
      </c>
      <c r="D55" s="341">
        <v>0</v>
      </c>
      <c r="E55" s="342">
        <f>C55+D55</f>
        <v>3634576</v>
      </c>
      <c r="F55" s="341"/>
      <c r="G55" s="341"/>
      <c r="H55" s="342">
        <f>F55+G55</f>
        <v>0</v>
      </c>
    </row>
    <row r="56" spans="1:8">
      <c r="A56" s="64">
        <v>24</v>
      </c>
      <c r="B56" s="365" t="s">
        <v>686</v>
      </c>
      <c r="C56" s="687">
        <v>0</v>
      </c>
      <c r="D56" s="341">
        <v>0</v>
      </c>
      <c r="E56" s="342">
        <f t="shared" ref="E56:E69" si="4">C56+D56</f>
        <v>0</v>
      </c>
      <c r="F56" s="341"/>
      <c r="G56" s="341"/>
      <c r="H56" s="342">
        <f t="shared" ref="H56:H69" si="5">F56+G56</f>
        <v>0</v>
      </c>
    </row>
    <row r="57" spans="1:8">
      <c r="A57" s="64">
        <v>25</v>
      </c>
      <c r="B57" s="365" t="s">
        <v>82</v>
      </c>
      <c r="C57" s="687">
        <v>22109970.23</v>
      </c>
      <c r="D57" s="341">
        <v>0</v>
      </c>
      <c r="E57" s="342">
        <f t="shared" si="4"/>
        <v>22109970.23</v>
      </c>
      <c r="F57" s="341"/>
      <c r="G57" s="341"/>
      <c r="H57" s="342">
        <f t="shared" si="5"/>
        <v>0</v>
      </c>
    </row>
    <row r="58" spans="1:8">
      <c r="A58" s="64">
        <v>26</v>
      </c>
      <c r="B58" s="348" t="s">
        <v>687</v>
      </c>
      <c r="C58" s="687">
        <v>0</v>
      </c>
      <c r="D58" s="341">
        <v>0</v>
      </c>
      <c r="E58" s="342">
        <f t="shared" si="4"/>
        <v>0</v>
      </c>
      <c r="F58" s="341"/>
      <c r="G58" s="341"/>
      <c r="H58" s="342">
        <f t="shared" si="5"/>
        <v>0</v>
      </c>
    </row>
    <row r="59" spans="1:8" ht="27.6">
      <c r="A59" s="64">
        <v>27</v>
      </c>
      <c r="B59" s="348" t="s">
        <v>688</v>
      </c>
      <c r="C59" s="687">
        <f>SUM(C60:C61)</f>
        <v>0</v>
      </c>
      <c r="D59" s="341">
        <f>SUM(D60:D61)</f>
        <v>0</v>
      </c>
      <c r="E59" s="342">
        <f t="shared" si="4"/>
        <v>0</v>
      </c>
      <c r="F59" s="341"/>
      <c r="G59" s="341"/>
      <c r="H59" s="342">
        <f t="shared" si="5"/>
        <v>0</v>
      </c>
    </row>
    <row r="60" spans="1:8">
      <c r="A60" s="64">
        <v>27.1</v>
      </c>
      <c r="B60" s="343" t="s">
        <v>689</v>
      </c>
      <c r="C60" s="687">
        <v>0</v>
      </c>
      <c r="D60" s="341">
        <v>0</v>
      </c>
      <c r="E60" s="342">
        <f t="shared" si="4"/>
        <v>0</v>
      </c>
      <c r="F60" s="341"/>
      <c r="G60" s="341"/>
      <c r="H60" s="342">
        <f t="shared" si="5"/>
        <v>0</v>
      </c>
    </row>
    <row r="61" spans="1:8">
      <c r="A61" s="64">
        <v>27.2</v>
      </c>
      <c r="B61" s="367" t="s">
        <v>690</v>
      </c>
      <c r="C61" s="687">
        <v>0</v>
      </c>
      <c r="D61" s="341">
        <v>0</v>
      </c>
      <c r="E61" s="342">
        <f t="shared" si="4"/>
        <v>0</v>
      </c>
      <c r="F61" s="341"/>
      <c r="G61" s="341"/>
      <c r="H61" s="342">
        <f t="shared" si="5"/>
        <v>0</v>
      </c>
    </row>
    <row r="62" spans="1:8">
      <c r="A62" s="64">
        <v>28</v>
      </c>
      <c r="B62" s="359" t="s">
        <v>691</v>
      </c>
      <c r="C62" s="687">
        <v>0</v>
      </c>
      <c r="D62" s="341">
        <v>0</v>
      </c>
      <c r="E62" s="342">
        <f t="shared" si="4"/>
        <v>0</v>
      </c>
      <c r="F62" s="341"/>
      <c r="G62" s="341"/>
      <c r="H62" s="342">
        <f t="shared" si="5"/>
        <v>0</v>
      </c>
    </row>
    <row r="63" spans="1:8">
      <c r="A63" s="64">
        <v>29</v>
      </c>
      <c r="B63" s="348" t="s">
        <v>692</v>
      </c>
      <c r="C63" s="687">
        <f>SUM(C64:C66)</f>
        <v>0</v>
      </c>
      <c r="D63" s="341">
        <f>SUM(D64:D66)</f>
        <v>0</v>
      </c>
      <c r="E63" s="342">
        <f t="shared" si="4"/>
        <v>0</v>
      </c>
      <c r="F63" s="341"/>
      <c r="G63" s="341"/>
      <c r="H63" s="342">
        <f t="shared" si="5"/>
        <v>0</v>
      </c>
    </row>
    <row r="64" spans="1:8">
      <c r="A64" s="64">
        <v>29.1</v>
      </c>
      <c r="B64" s="362" t="s">
        <v>693</v>
      </c>
      <c r="C64" s="687">
        <v>0</v>
      </c>
      <c r="D64" s="341">
        <v>0</v>
      </c>
      <c r="E64" s="342">
        <f t="shared" si="4"/>
        <v>0</v>
      </c>
      <c r="F64" s="341"/>
      <c r="G64" s="341"/>
      <c r="H64" s="342">
        <f t="shared" si="5"/>
        <v>0</v>
      </c>
    </row>
    <row r="65" spans="1:8" ht="25.05" customHeight="1">
      <c r="A65" s="64">
        <v>29.2</v>
      </c>
      <c r="B65" s="343" t="s">
        <v>694</v>
      </c>
      <c r="C65" s="687">
        <v>0</v>
      </c>
      <c r="D65" s="341">
        <v>0</v>
      </c>
      <c r="E65" s="342">
        <f t="shared" si="4"/>
        <v>0</v>
      </c>
      <c r="F65" s="341"/>
      <c r="G65" s="341"/>
      <c r="H65" s="342">
        <f t="shared" si="5"/>
        <v>0</v>
      </c>
    </row>
    <row r="66" spans="1:8" ht="22.5" customHeight="1">
      <c r="A66" s="64">
        <v>29.3</v>
      </c>
      <c r="B66" s="346" t="s">
        <v>695</v>
      </c>
      <c r="C66" s="687">
        <v>0</v>
      </c>
      <c r="D66" s="341">
        <v>0</v>
      </c>
      <c r="E66" s="342">
        <f t="shared" si="4"/>
        <v>0</v>
      </c>
      <c r="F66" s="341"/>
      <c r="G66" s="341"/>
      <c r="H66" s="342">
        <f t="shared" si="5"/>
        <v>0</v>
      </c>
    </row>
    <row r="67" spans="1:8">
      <c r="A67" s="64">
        <v>30</v>
      </c>
      <c r="B67" s="348" t="s">
        <v>83</v>
      </c>
      <c r="C67" s="687">
        <v>85891689.191326097</v>
      </c>
      <c r="D67" s="341">
        <v>0</v>
      </c>
      <c r="E67" s="342">
        <f t="shared" si="4"/>
        <v>85891689.191326097</v>
      </c>
      <c r="F67" s="341"/>
      <c r="G67" s="341"/>
      <c r="H67" s="342">
        <f t="shared" si="5"/>
        <v>0</v>
      </c>
    </row>
    <row r="68" spans="1:8">
      <c r="A68" s="64">
        <v>31</v>
      </c>
      <c r="B68" s="369" t="s">
        <v>1000</v>
      </c>
      <c r="C68" s="687">
        <f>SUM(C55,C56,C57,C58,C59,C62,C63,C67)</f>
        <v>111636235.4213261</v>
      </c>
      <c r="D68" s="341">
        <f>SUM(D55,D56,D57,D58,D59,D62,D63,D67)</f>
        <v>0</v>
      </c>
      <c r="E68" s="342">
        <f t="shared" si="4"/>
        <v>111636235.4213261</v>
      </c>
      <c r="F68" s="341">
        <f>SUM(F55,F56,F57,F58,F59,F62,F63,F67)</f>
        <v>0</v>
      </c>
      <c r="G68" s="341">
        <f>SUM(G55,G56,G57,G58,G59,G62,G63,G67)</f>
        <v>0</v>
      </c>
      <c r="H68" s="342">
        <f t="shared" si="5"/>
        <v>0</v>
      </c>
    </row>
    <row r="69" spans="1:8">
      <c r="A69" s="64">
        <v>32</v>
      </c>
      <c r="B69" s="348" t="s">
        <v>697</v>
      </c>
      <c r="C69" s="687">
        <f>SUM(C53,C68)</f>
        <v>394643709.44132495</v>
      </c>
      <c r="D69" s="341">
        <f>SUM(D53,D68)</f>
        <v>284084223.54520327</v>
      </c>
      <c r="E69" s="342">
        <f t="shared" si="4"/>
        <v>678727932.98652816</v>
      </c>
      <c r="F69" s="341">
        <f>SUM(F68)</f>
        <v>0</v>
      </c>
      <c r="G69" s="341">
        <f>SUM(G68)</f>
        <v>0</v>
      </c>
      <c r="H69" s="342">
        <f t="shared" si="5"/>
        <v>0</v>
      </c>
    </row>
    <row r="70" spans="1:8">
      <c r="E70" s="371"/>
    </row>
    <row r="72" spans="1:8">
      <c r="B72" s="714"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Z32"/>
  <sheetViews>
    <sheetView showGridLines="0" zoomScale="80" zoomScaleNormal="80" workbookViewId="0">
      <pane xSplit="2" ySplit="6" topLeftCell="C7" activePane="bottomRight" state="frozen"/>
      <selection activeCell="C24" sqref="C24"/>
      <selection pane="topRight" activeCell="C24" sqref="C24"/>
      <selection pane="bottomLeft" activeCell="C24" sqref="C24"/>
      <selection pane="bottomRight" activeCell="C7" sqref="C7:V20"/>
    </sheetView>
  </sheetViews>
  <sheetFormatPr defaultColWidth="8.77734375" defaultRowHeight="14.4"/>
  <cols>
    <col min="1" max="1" width="12.88671875" style="523" bestFit="1" customWidth="1"/>
    <col min="2" max="2" width="71" style="523" bestFit="1" customWidth="1"/>
    <col min="3" max="3" width="15.109375" style="523" bestFit="1" customWidth="1"/>
    <col min="4" max="5" width="15.21875" style="523" bestFit="1" customWidth="1"/>
    <col min="6" max="6" width="20" style="523" bestFit="1" customWidth="1"/>
    <col min="7" max="7" width="37.6640625" style="523" bestFit="1" customWidth="1"/>
    <col min="8" max="8" width="16" style="523" customWidth="1"/>
    <col min="9" max="10" width="15.21875" style="523" bestFit="1" customWidth="1"/>
    <col min="11" max="11" width="20" style="523" bestFit="1" customWidth="1"/>
    <col min="12" max="12" width="37.6640625" style="523" bestFit="1" customWidth="1"/>
    <col min="13" max="13" width="13.5546875" style="523" customWidth="1"/>
    <col min="14" max="15" width="15.21875" style="523" bestFit="1" customWidth="1"/>
    <col min="16" max="16" width="20" style="523" bestFit="1" customWidth="1"/>
    <col min="17" max="17" width="37.6640625" style="523" bestFit="1" customWidth="1"/>
    <col min="18" max="18" width="18" style="523" bestFit="1" customWidth="1"/>
    <col min="19" max="19" width="32.5546875" style="523" customWidth="1"/>
    <col min="20" max="20" width="33.6640625" style="523" customWidth="1"/>
    <col min="21" max="21" width="25.77734375" style="523" customWidth="1"/>
    <col min="22" max="22" width="34.5546875" style="523" customWidth="1"/>
    <col min="23" max="16384" width="8.77734375" style="523"/>
  </cols>
  <sheetData>
    <row r="1" spans="1:22">
      <c r="A1" s="336" t="s">
        <v>869</v>
      </c>
      <c r="B1" s="338" t="str">
        <f>Info!C2</f>
        <v>კრისტალი</v>
      </c>
    </row>
    <row r="2" spans="1:22">
      <c r="A2" s="336" t="s">
        <v>88</v>
      </c>
      <c r="B2" s="337">
        <f>'1. key ratios'!B2</f>
        <v>46112</v>
      </c>
    </row>
    <row r="3" spans="1:22">
      <c r="A3" s="498" t="s">
        <v>612</v>
      </c>
      <c r="B3" s="497"/>
    </row>
    <row r="4" spans="1:22">
      <c r="A4" s="498"/>
      <c r="B4" s="497"/>
    </row>
    <row r="5" spans="1:22" ht="24" customHeight="1">
      <c r="A5" s="895" t="s">
        <v>638</v>
      </c>
      <c r="B5" s="895"/>
      <c r="C5" s="897" t="s">
        <v>819</v>
      </c>
      <c r="D5" s="897"/>
      <c r="E5" s="897"/>
      <c r="F5" s="897"/>
      <c r="G5" s="897"/>
      <c r="H5" s="897" t="s">
        <v>526</v>
      </c>
      <c r="I5" s="897"/>
      <c r="J5" s="897"/>
      <c r="K5" s="897"/>
      <c r="L5" s="897"/>
      <c r="M5" s="897" t="s">
        <v>818</v>
      </c>
      <c r="N5" s="897"/>
      <c r="O5" s="897"/>
      <c r="P5" s="897"/>
      <c r="Q5" s="897"/>
      <c r="R5" s="896" t="s">
        <v>637</v>
      </c>
      <c r="S5" s="896" t="s">
        <v>641</v>
      </c>
      <c r="T5" s="896" t="s">
        <v>640</v>
      </c>
      <c r="U5" s="896" t="s">
        <v>856</v>
      </c>
      <c r="V5" s="896" t="s">
        <v>857</v>
      </c>
    </row>
    <row r="6" spans="1:22" ht="36" customHeight="1">
      <c r="A6" s="895"/>
      <c r="B6" s="895"/>
      <c r="C6" s="524"/>
      <c r="D6" s="68" t="s">
        <v>803</v>
      </c>
      <c r="E6" s="68" t="s">
        <v>802</v>
      </c>
      <c r="F6" s="68" t="s">
        <v>801</v>
      </c>
      <c r="G6" s="68" t="s">
        <v>800</v>
      </c>
      <c r="H6" s="524"/>
      <c r="I6" s="68" t="s">
        <v>803</v>
      </c>
      <c r="J6" s="68" t="s">
        <v>802</v>
      </c>
      <c r="K6" s="68" t="s">
        <v>801</v>
      </c>
      <c r="L6" s="68" t="s">
        <v>800</v>
      </c>
      <c r="M6" s="524"/>
      <c r="N6" s="68" t="s">
        <v>803</v>
      </c>
      <c r="O6" s="68" t="s">
        <v>802</v>
      </c>
      <c r="P6" s="68" t="s">
        <v>801</v>
      </c>
      <c r="Q6" s="68" t="s">
        <v>800</v>
      </c>
      <c r="R6" s="896"/>
      <c r="S6" s="896"/>
      <c r="T6" s="896"/>
      <c r="U6" s="896"/>
      <c r="V6" s="896"/>
    </row>
    <row r="7" spans="1:22">
      <c r="A7" s="525">
        <v>1</v>
      </c>
      <c r="B7" s="94" t="s">
        <v>613</v>
      </c>
      <c r="C7" s="526">
        <f>SUM(D7:G7)</f>
        <v>10338146.399999999</v>
      </c>
      <c r="D7" s="526">
        <v>9477511.7799999993</v>
      </c>
      <c r="E7" s="526">
        <v>599754</v>
      </c>
      <c r="F7" s="526">
        <v>260880.62000000002</v>
      </c>
      <c r="G7" s="526">
        <v>0</v>
      </c>
      <c r="H7" s="526">
        <f>SUM(I7:L7)</f>
        <v>10409184.57756822</v>
      </c>
      <c r="I7" s="526">
        <v>9472925.4915237986</v>
      </c>
      <c r="J7" s="526">
        <v>610559.52616254601</v>
      </c>
      <c r="K7" s="526">
        <v>325699.55988187611</v>
      </c>
      <c r="L7" s="526">
        <v>0</v>
      </c>
      <c r="M7" s="526">
        <f>SUM(N7:Q7)</f>
        <v>94230.23</v>
      </c>
      <c r="N7" s="526">
        <v>14857.660000000002</v>
      </c>
      <c r="O7" s="526">
        <v>7501.6200000000017</v>
      </c>
      <c r="P7" s="526">
        <v>71870.95</v>
      </c>
      <c r="Q7" s="526">
        <v>0</v>
      </c>
      <c r="R7" s="526">
        <v>688</v>
      </c>
      <c r="S7" s="732">
        <v>0.267789141339912</v>
      </c>
      <c r="T7" s="732">
        <v>0.35144490873874501</v>
      </c>
      <c r="U7" s="732">
        <v>0.27129943158727049</v>
      </c>
      <c r="V7" s="733">
        <v>25.16037567299993</v>
      </c>
    </row>
    <row r="8" spans="1:22">
      <c r="A8" s="525">
        <v>2</v>
      </c>
      <c r="B8" s="93" t="s">
        <v>614</v>
      </c>
      <c r="C8" s="526">
        <f t="shared" ref="C8:C12" si="0">SUM(D8:G8)</f>
        <v>264266257.48240009</v>
      </c>
      <c r="D8" s="526">
        <v>244746298.0800001</v>
      </c>
      <c r="E8" s="526">
        <v>11673373.873499995</v>
      </c>
      <c r="F8" s="526">
        <v>7846585.5289000003</v>
      </c>
      <c r="G8" s="526">
        <v>0</v>
      </c>
      <c r="H8" s="526">
        <f t="shared" ref="H8:H12" si="1">SUM(I8:L8)</f>
        <v>264067073.16472536</v>
      </c>
      <c r="I8" s="526">
        <v>243531130.49896517</v>
      </c>
      <c r="J8" s="526">
        <v>12059014.854042122</v>
      </c>
      <c r="K8" s="526">
        <v>8476927.8117180746</v>
      </c>
      <c r="L8" s="526">
        <v>0</v>
      </c>
      <c r="M8" s="526">
        <f t="shared" ref="M8:M12" si="2">SUM(N8:Q8)</f>
        <v>8682223.3599999957</v>
      </c>
      <c r="N8" s="526">
        <v>1616558.4800000049</v>
      </c>
      <c r="O8" s="526">
        <v>960555.64000000036</v>
      </c>
      <c r="P8" s="526">
        <v>6105109.23999999</v>
      </c>
      <c r="Q8" s="526">
        <v>0</v>
      </c>
      <c r="R8" s="526">
        <v>45505</v>
      </c>
      <c r="S8" s="732">
        <v>0.26240637582124621</v>
      </c>
      <c r="T8" s="732">
        <v>0.34210186965140815</v>
      </c>
      <c r="U8" s="732">
        <v>0.25324646941923895</v>
      </c>
      <c r="V8" s="733">
        <v>28.138335943749997</v>
      </c>
    </row>
    <row r="9" spans="1:22">
      <c r="A9" s="525">
        <v>3</v>
      </c>
      <c r="B9" s="93" t="s">
        <v>615</v>
      </c>
      <c r="C9" s="526">
        <f t="shared" si="0"/>
        <v>0</v>
      </c>
      <c r="D9" s="526">
        <v>0</v>
      </c>
      <c r="E9" s="526">
        <v>0</v>
      </c>
      <c r="F9" s="526">
        <v>0</v>
      </c>
      <c r="G9" s="526">
        <v>0</v>
      </c>
      <c r="H9" s="526">
        <f t="shared" si="1"/>
        <v>0</v>
      </c>
      <c r="I9" s="526">
        <v>0</v>
      </c>
      <c r="J9" s="526">
        <v>0</v>
      </c>
      <c r="K9" s="526">
        <v>0</v>
      </c>
      <c r="L9" s="526">
        <v>0</v>
      </c>
      <c r="M9" s="526">
        <f t="shared" si="2"/>
        <v>0</v>
      </c>
      <c r="N9" s="526">
        <v>0</v>
      </c>
      <c r="O9" s="526">
        <v>0</v>
      </c>
      <c r="P9" s="526">
        <v>0</v>
      </c>
      <c r="Q9" s="526">
        <v>0</v>
      </c>
      <c r="R9" s="526">
        <v>0</v>
      </c>
      <c r="S9" s="732">
        <v>0</v>
      </c>
      <c r="T9" s="732">
        <v>0</v>
      </c>
      <c r="U9" s="732">
        <v>0</v>
      </c>
      <c r="V9" s="733">
        <v>0</v>
      </c>
    </row>
    <row r="10" spans="1:22">
      <c r="A10" s="525">
        <v>4</v>
      </c>
      <c r="B10" s="93" t="s">
        <v>1005</v>
      </c>
      <c r="C10" s="526">
        <f t="shared" si="0"/>
        <v>20582349.460000023</v>
      </c>
      <c r="D10" s="526">
        <v>19024505.060000025</v>
      </c>
      <c r="E10" s="526">
        <v>901852.39999999886</v>
      </c>
      <c r="F10" s="526">
        <v>655992.00000000023</v>
      </c>
      <c r="G10" s="526">
        <v>0</v>
      </c>
      <c r="H10" s="526">
        <f t="shared" si="1"/>
        <v>20522022.421109322</v>
      </c>
      <c r="I10" s="526">
        <v>18776896.884555034</v>
      </c>
      <c r="J10" s="526">
        <v>948294.88049550075</v>
      </c>
      <c r="K10" s="526">
        <v>796830.65605878807</v>
      </c>
      <c r="L10" s="526">
        <v>0</v>
      </c>
      <c r="M10" s="526">
        <f t="shared" si="2"/>
        <v>830060.92000000027</v>
      </c>
      <c r="N10" s="526">
        <v>100224.44000000012</v>
      </c>
      <c r="O10" s="526">
        <v>103639.09000000011</v>
      </c>
      <c r="P10" s="526">
        <v>626197.39</v>
      </c>
      <c r="Q10" s="526">
        <v>0</v>
      </c>
      <c r="R10" s="526">
        <v>18210</v>
      </c>
      <c r="S10" s="732">
        <v>0.23702672209316358</v>
      </c>
      <c r="T10" s="732">
        <v>0.32087835368966328</v>
      </c>
      <c r="U10" s="732">
        <v>0.23526677143498478</v>
      </c>
      <c r="V10" s="733">
        <v>11.439662223157441</v>
      </c>
    </row>
    <row r="11" spans="1:22">
      <c r="A11" s="525">
        <v>5</v>
      </c>
      <c r="B11" s="93" t="s">
        <v>617</v>
      </c>
      <c r="C11" s="526">
        <f t="shared" si="0"/>
        <v>0</v>
      </c>
      <c r="D11" s="526">
        <v>0</v>
      </c>
      <c r="E11" s="526">
        <v>0</v>
      </c>
      <c r="F11" s="526">
        <v>0</v>
      </c>
      <c r="G11" s="526">
        <v>0</v>
      </c>
      <c r="H11" s="526">
        <f t="shared" si="1"/>
        <v>0</v>
      </c>
      <c r="I11" s="526">
        <v>0</v>
      </c>
      <c r="J11" s="526">
        <v>0</v>
      </c>
      <c r="K11" s="526">
        <v>0</v>
      </c>
      <c r="L11" s="526">
        <v>0</v>
      </c>
      <c r="M11" s="526">
        <f t="shared" si="2"/>
        <v>0</v>
      </c>
      <c r="N11" s="526">
        <v>0</v>
      </c>
      <c r="O11" s="526">
        <v>0</v>
      </c>
      <c r="P11" s="526">
        <v>0</v>
      </c>
      <c r="Q11" s="526">
        <v>0</v>
      </c>
      <c r="R11" s="526">
        <v>0</v>
      </c>
      <c r="S11" s="732">
        <v>0</v>
      </c>
      <c r="T11" s="732">
        <v>0</v>
      </c>
      <c r="U11" s="732">
        <v>0</v>
      </c>
      <c r="V11" s="733">
        <v>0</v>
      </c>
    </row>
    <row r="12" spans="1:22">
      <c r="A12" s="525">
        <v>6</v>
      </c>
      <c r="B12" s="93" t="s">
        <v>618</v>
      </c>
      <c r="C12" s="526">
        <f t="shared" si="0"/>
        <v>0</v>
      </c>
      <c r="D12" s="526">
        <v>0</v>
      </c>
      <c r="E12" s="526">
        <v>0</v>
      </c>
      <c r="F12" s="526">
        <v>0</v>
      </c>
      <c r="G12" s="526">
        <v>0</v>
      </c>
      <c r="H12" s="526">
        <f t="shared" si="1"/>
        <v>0</v>
      </c>
      <c r="I12" s="526">
        <v>0</v>
      </c>
      <c r="J12" s="526">
        <v>0</v>
      </c>
      <c r="K12" s="526">
        <v>0</v>
      </c>
      <c r="L12" s="526">
        <v>0</v>
      </c>
      <c r="M12" s="526">
        <f t="shared" si="2"/>
        <v>0</v>
      </c>
      <c r="N12" s="526">
        <v>0</v>
      </c>
      <c r="O12" s="526">
        <v>0</v>
      </c>
      <c r="P12" s="526">
        <v>0</v>
      </c>
      <c r="Q12" s="526">
        <v>0</v>
      </c>
      <c r="R12" s="526">
        <v>0</v>
      </c>
      <c r="S12" s="732">
        <v>0</v>
      </c>
      <c r="T12" s="732">
        <v>0</v>
      </c>
      <c r="U12" s="732">
        <v>0</v>
      </c>
      <c r="V12" s="733">
        <v>0</v>
      </c>
    </row>
    <row r="13" spans="1:22">
      <c r="A13" s="525">
        <v>7</v>
      </c>
      <c r="B13" s="93" t="s">
        <v>619</v>
      </c>
      <c r="C13" s="734">
        <f t="shared" ref="C13:R13" si="3">SUM(C14:C16)</f>
        <v>0</v>
      </c>
      <c r="D13" s="734">
        <f t="shared" si="3"/>
        <v>0</v>
      </c>
      <c r="E13" s="734">
        <f t="shared" si="3"/>
        <v>0</v>
      </c>
      <c r="F13" s="734">
        <f t="shared" si="3"/>
        <v>0</v>
      </c>
      <c r="G13" s="734">
        <f t="shared" si="3"/>
        <v>0</v>
      </c>
      <c r="H13" s="734">
        <f t="shared" si="3"/>
        <v>0</v>
      </c>
      <c r="I13" s="734">
        <f t="shared" si="3"/>
        <v>0</v>
      </c>
      <c r="J13" s="734">
        <f t="shared" si="3"/>
        <v>0</v>
      </c>
      <c r="K13" s="734">
        <f t="shared" si="3"/>
        <v>0</v>
      </c>
      <c r="L13" s="734">
        <f t="shared" si="3"/>
        <v>0</v>
      </c>
      <c r="M13" s="734">
        <f t="shared" si="3"/>
        <v>0</v>
      </c>
      <c r="N13" s="734">
        <f t="shared" si="3"/>
        <v>0</v>
      </c>
      <c r="O13" s="734">
        <f t="shared" si="3"/>
        <v>0</v>
      </c>
      <c r="P13" s="734">
        <f t="shared" si="3"/>
        <v>0</v>
      </c>
      <c r="Q13" s="734">
        <f t="shared" si="3"/>
        <v>0</v>
      </c>
      <c r="R13" s="734">
        <f t="shared" si="3"/>
        <v>0</v>
      </c>
      <c r="S13" s="732">
        <v>0</v>
      </c>
      <c r="T13" s="732">
        <v>0</v>
      </c>
      <c r="U13" s="732">
        <v>0</v>
      </c>
      <c r="V13" s="733">
        <v>0</v>
      </c>
    </row>
    <row r="14" spans="1:22">
      <c r="A14" s="525">
        <v>7.1</v>
      </c>
      <c r="B14" s="527" t="s">
        <v>620</v>
      </c>
      <c r="C14" s="734">
        <f t="shared" ref="C14:C20" si="4">SUM(D14:G14)</f>
        <v>0</v>
      </c>
      <c r="D14" s="734"/>
      <c r="E14" s="734"/>
      <c r="F14" s="734"/>
      <c r="G14" s="734">
        <v>0</v>
      </c>
      <c r="H14" s="734">
        <f t="shared" ref="H14:H16" si="5">SUM(I14:L14)</f>
        <v>0</v>
      </c>
      <c r="I14" s="734"/>
      <c r="J14" s="734"/>
      <c r="K14" s="734"/>
      <c r="L14" s="734">
        <v>0</v>
      </c>
      <c r="M14" s="734">
        <f t="shared" ref="M14:M16" si="6">SUM(N14:Q14)</f>
        <v>0</v>
      </c>
      <c r="N14" s="734"/>
      <c r="O14" s="734"/>
      <c r="P14" s="734"/>
      <c r="Q14" s="734">
        <v>0</v>
      </c>
      <c r="R14" s="734"/>
      <c r="S14" s="732"/>
      <c r="T14" s="732"/>
      <c r="U14" s="732"/>
      <c r="V14" s="733"/>
    </row>
    <row r="15" spans="1:22" ht="24">
      <c r="A15" s="525">
        <v>7.2</v>
      </c>
      <c r="B15" s="527" t="s">
        <v>621</v>
      </c>
      <c r="C15" s="734">
        <f t="shared" si="4"/>
        <v>0</v>
      </c>
      <c r="D15" s="734"/>
      <c r="E15" s="734"/>
      <c r="F15" s="734"/>
      <c r="G15" s="734">
        <v>0</v>
      </c>
      <c r="H15" s="734">
        <f t="shared" si="5"/>
        <v>0</v>
      </c>
      <c r="I15" s="734"/>
      <c r="J15" s="734"/>
      <c r="K15" s="734"/>
      <c r="L15" s="734">
        <v>0</v>
      </c>
      <c r="M15" s="734">
        <f t="shared" si="6"/>
        <v>0</v>
      </c>
      <c r="N15" s="734"/>
      <c r="O15" s="734"/>
      <c r="P15" s="734"/>
      <c r="Q15" s="734">
        <v>0</v>
      </c>
      <c r="R15" s="734"/>
      <c r="S15" s="732"/>
      <c r="T15" s="732"/>
      <c r="U15" s="732"/>
      <c r="V15" s="734"/>
    </row>
    <row r="16" spans="1:22">
      <c r="A16" s="525">
        <v>7.3</v>
      </c>
      <c r="B16" s="527" t="s">
        <v>622</v>
      </c>
      <c r="C16" s="734">
        <f t="shared" si="4"/>
        <v>0</v>
      </c>
      <c r="D16" s="734"/>
      <c r="E16" s="734"/>
      <c r="F16" s="734"/>
      <c r="G16" s="734">
        <v>0</v>
      </c>
      <c r="H16" s="734">
        <f t="shared" si="5"/>
        <v>0</v>
      </c>
      <c r="I16" s="734"/>
      <c r="J16" s="734"/>
      <c r="K16" s="734"/>
      <c r="L16" s="734">
        <v>0</v>
      </c>
      <c r="M16" s="734">
        <f t="shared" si="6"/>
        <v>0</v>
      </c>
      <c r="N16" s="734"/>
      <c r="O16" s="734"/>
      <c r="P16" s="734"/>
      <c r="Q16" s="734">
        <v>0</v>
      </c>
      <c r="R16" s="734"/>
      <c r="S16" s="732"/>
      <c r="T16" s="732"/>
      <c r="U16" s="732"/>
      <c r="V16" s="733"/>
    </row>
    <row r="17" spans="1:26">
      <c r="A17" s="525">
        <v>8</v>
      </c>
      <c r="B17" s="93" t="s">
        <v>623</v>
      </c>
      <c r="C17" s="734">
        <f t="shared" si="4"/>
        <v>19896925.68280001</v>
      </c>
      <c r="D17" s="734">
        <v>17875362.873500008</v>
      </c>
      <c r="E17" s="734">
        <v>1765009.3692999999</v>
      </c>
      <c r="F17" s="734">
        <v>256553.44000000006</v>
      </c>
      <c r="G17" s="734">
        <v>0</v>
      </c>
      <c r="H17" s="734">
        <f t="shared" ref="H17:H20" si="7">SUM(I17:L17)</f>
        <v>20123199.424944844</v>
      </c>
      <c r="I17" s="734">
        <v>18061096.782679055</v>
      </c>
      <c r="J17" s="734">
        <v>1795572.4725123481</v>
      </c>
      <c r="K17" s="734">
        <v>266530.16975343903</v>
      </c>
      <c r="L17" s="734">
        <v>0</v>
      </c>
      <c r="M17" s="734">
        <f t="shared" ref="M17:M20" si="8">SUM(N17:Q17)</f>
        <v>90949.060000000041</v>
      </c>
      <c r="N17" s="734">
        <v>1363.109999999999</v>
      </c>
      <c r="O17" s="734">
        <v>94.490000000000009</v>
      </c>
      <c r="P17" s="734">
        <v>89491.460000000036</v>
      </c>
      <c r="Q17" s="734">
        <v>0</v>
      </c>
      <c r="R17" s="734">
        <v>11279</v>
      </c>
      <c r="S17" s="732">
        <v>0.21912264403239046</v>
      </c>
      <c r="T17" s="732">
        <v>0.24263582489562224</v>
      </c>
      <c r="U17" s="732">
        <v>0.21984276948911763</v>
      </c>
      <c r="V17" s="733">
        <v>0.92260326557211625</v>
      </c>
    </row>
    <row r="18" spans="1:26">
      <c r="A18" s="760">
        <v>9</v>
      </c>
      <c r="B18" s="759" t="s">
        <v>624</v>
      </c>
      <c r="C18" s="734">
        <f t="shared" si="4"/>
        <v>0</v>
      </c>
      <c r="D18" s="734">
        <v>0</v>
      </c>
      <c r="E18" s="734">
        <v>0</v>
      </c>
      <c r="F18" s="734">
        <v>0</v>
      </c>
      <c r="G18" s="734">
        <v>0</v>
      </c>
      <c r="H18" s="734">
        <f t="shared" si="7"/>
        <v>0</v>
      </c>
      <c r="I18" s="734">
        <v>0</v>
      </c>
      <c r="J18" s="734">
        <v>0</v>
      </c>
      <c r="K18" s="734">
        <v>0</v>
      </c>
      <c r="L18" s="735">
        <v>0</v>
      </c>
      <c r="M18" s="734">
        <f t="shared" si="8"/>
        <v>0</v>
      </c>
      <c r="N18" s="734">
        <v>0</v>
      </c>
      <c r="O18" s="734">
        <v>0</v>
      </c>
      <c r="P18" s="734">
        <v>0</v>
      </c>
      <c r="Q18" s="735">
        <v>0</v>
      </c>
      <c r="R18" s="734">
        <v>0</v>
      </c>
      <c r="S18" s="732">
        <v>0</v>
      </c>
      <c r="T18" s="732">
        <v>0</v>
      </c>
      <c r="U18" s="732">
        <v>0</v>
      </c>
      <c r="V18" s="733">
        <v>0</v>
      </c>
    </row>
    <row r="19" spans="1:26">
      <c r="A19" s="525">
        <v>10</v>
      </c>
      <c r="B19" s="761" t="s">
        <v>639</v>
      </c>
      <c r="C19" s="762">
        <f t="shared" ref="C19:R19" si="9">SUM(C7:C13,C17:C18)</f>
        <v>315083679.02520013</v>
      </c>
      <c r="D19" s="762">
        <f t="shared" si="9"/>
        <v>291123677.79350013</v>
      </c>
      <c r="E19" s="762">
        <f t="shared" si="9"/>
        <v>14939989.642799994</v>
      </c>
      <c r="F19" s="762">
        <f t="shared" si="9"/>
        <v>9020011.5888999999</v>
      </c>
      <c r="G19" s="762">
        <f t="shared" si="9"/>
        <v>0</v>
      </c>
      <c r="H19" s="762">
        <f t="shared" si="9"/>
        <v>315121479.58834773</v>
      </c>
      <c r="I19" s="762">
        <f t="shared" si="9"/>
        <v>289842049.65772307</v>
      </c>
      <c r="J19" s="762">
        <f t="shared" si="9"/>
        <v>15413441.733212518</v>
      </c>
      <c r="K19" s="762">
        <f t="shared" si="9"/>
        <v>9865988.1974121779</v>
      </c>
      <c r="L19" s="762">
        <f t="shared" si="9"/>
        <v>0</v>
      </c>
      <c r="M19" s="762">
        <f t="shared" si="9"/>
        <v>9697463.5699999966</v>
      </c>
      <c r="N19" s="762">
        <f t="shared" si="9"/>
        <v>1733003.6900000051</v>
      </c>
      <c r="O19" s="762">
        <f t="shared" si="9"/>
        <v>1071790.8400000005</v>
      </c>
      <c r="P19" s="762">
        <f t="shared" si="9"/>
        <v>6892669.0399999898</v>
      </c>
      <c r="Q19" s="762">
        <f t="shared" si="9"/>
        <v>0</v>
      </c>
      <c r="R19" s="762">
        <f t="shared" si="9"/>
        <v>75682</v>
      </c>
      <c r="S19" s="736">
        <v>0.2589086437059806</v>
      </c>
      <c r="T19" s="736">
        <v>0.33652650482596508</v>
      </c>
      <c r="U19" s="736">
        <v>0.25053877565581123</v>
      </c>
      <c r="V19" s="737">
        <v>25.214522841570375</v>
      </c>
    </row>
    <row r="20" spans="1:26" ht="24">
      <c r="A20" s="525">
        <v>10.1</v>
      </c>
      <c r="B20" s="527" t="s">
        <v>642</v>
      </c>
      <c r="C20" s="526">
        <f t="shared" si="4"/>
        <v>1217276.2899999998</v>
      </c>
      <c r="D20" s="526">
        <v>1159401.7299999997</v>
      </c>
      <c r="E20" s="526">
        <v>43530.090000000004</v>
      </c>
      <c r="F20" s="526">
        <v>14344.470000000001</v>
      </c>
      <c r="G20" s="526">
        <v>0</v>
      </c>
      <c r="H20" s="526">
        <f t="shared" si="7"/>
        <v>1216240.8290828797</v>
      </c>
      <c r="I20" s="526">
        <v>1156629.1281864964</v>
      </c>
      <c r="J20" s="526">
        <v>44641.649295450778</v>
      </c>
      <c r="K20" s="526">
        <v>14970.051600932282</v>
      </c>
      <c r="L20" s="526">
        <v>0</v>
      </c>
      <c r="M20" s="526" t="e">
        <f t="shared" si="8"/>
        <v>#REF!</v>
      </c>
      <c r="N20" s="526" t="e">
        <f>-#REF!</f>
        <v>#REF!</v>
      </c>
      <c r="O20" s="526" t="e">
        <f>-#REF!</f>
        <v>#REF!</v>
      </c>
      <c r="P20" s="526" t="e">
        <f>-#REF!</f>
        <v>#REF!</v>
      </c>
      <c r="Q20" s="526">
        <v>0</v>
      </c>
      <c r="R20" s="526">
        <v>498</v>
      </c>
      <c r="S20" s="732">
        <v>0.27057788981184461</v>
      </c>
      <c r="T20" s="732">
        <v>0.35350393074413278</v>
      </c>
      <c r="U20" s="732">
        <v>0.23910497752769494</v>
      </c>
      <c r="V20" s="733">
        <v>15.265429163732987</v>
      </c>
    </row>
    <row r="21" spans="1:26">
      <c r="B21" s="695"/>
      <c r="C21" s="695"/>
      <c r="D21" s="695"/>
      <c r="E21" s="695"/>
      <c r="F21" s="695"/>
      <c r="G21" s="695"/>
      <c r="H21" s="695"/>
      <c r="I21" s="695"/>
      <c r="J21" s="695"/>
      <c r="K21" s="695"/>
      <c r="L21" s="695"/>
      <c r="M21" s="695"/>
      <c r="N21" s="695"/>
      <c r="O21" s="695"/>
      <c r="P21" s="695"/>
      <c r="Q21" s="695"/>
      <c r="R21" s="695"/>
      <c r="S21" s="695"/>
      <c r="T21" s="695"/>
      <c r="U21" s="695"/>
      <c r="V21" s="695"/>
      <c r="Z21" s="696"/>
    </row>
    <row r="22" spans="1:26" s="694" customFormat="1" ht="12"/>
    <row r="32" spans="1:26">
      <c r="H32" s="523" t="s">
        <v>999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69696"/>
  </sheetPr>
  <dimension ref="A1:F237"/>
  <sheetViews>
    <sheetView zoomScale="80" zoomScaleNormal="80" workbookViewId="0">
      <selection activeCell="B21" sqref="B21:C21"/>
    </sheetView>
  </sheetViews>
  <sheetFormatPr defaultColWidth="43.5546875" defaultRowHeight="12"/>
  <cols>
    <col min="1" max="1" width="8" style="25" customWidth="1"/>
    <col min="2" max="2" width="66.21875" style="26" customWidth="1"/>
    <col min="3" max="3" width="131.44140625" style="27" customWidth="1"/>
    <col min="4" max="5" width="10.21875" style="18" customWidth="1"/>
    <col min="6" max="6" width="67.6640625" style="18" customWidth="1"/>
    <col min="7" max="16384" width="43.5546875" style="18"/>
  </cols>
  <sheetData>
    <row r="1" spans="1:3" ht="13.2" thickTop="1" thickBot="1">
      <c r="A1" s="898" t="s">
        <v>152</v>
      </c>
      <c r="B1" s="899"/>
      <c r="C1" s="900"/>
    </row>
    <row r="2" spans="1:3" ht="26.25" customHeight="1">
      <c r="A2" s="52"/>
      <c r="B2" s="901" t="s">
        <v>153</v>
      </c>
      <c r="C2" s="901"/>
    </row>
    <row r="3" spans="1:3" s="23" customFormat="1" ht="11.25" customHeight="1">
      <c r="A3" s="22"/>
      <c r="B3" s="901" t="s">
        <v>225</v>
      </c>
      <c r="C3" s="901"/>
    </row>
    <row r="4" spans="1:3" ht="12" customHeight="1" thickBot="1">
      <c r="A4" s="902" t="s">
        <v>229</v>
      </c>
      <c r="B4" s="903"/>
      <c r="C4" s="904"/>
    </row>
    <row r="5" spans="1:3" ht="12.6" thickTop="1">
      <c r="A5" s="19"/>
      <c r="B5" s="905" t="s">
        <v>154</v>
      </c>
      <c r="C5" s="906"/>
    </row>
    <row r="6" spans="1:3">
      <c r="A6" s="52"/>
      <c r="B6" s="907" t="s">
        <v>226</v>
      </c>
      <c r="C6" s="908"/>
    </row>
    <row r="7" spans="1:3">
      <c r="A7" s="52"/>
      <c r="B7" s="907" t="s">
        <v>155</v>
      </c>
      <c r="C7" s="908"/>
    </row>
    <row r="8" spans="1:3">
      <c r="A8" s="52"/>
      <c r="B8" s="907" t="s">
        <v>227</v>
      </c>
      <c r="C8" s="908"/>
    </row>
    <row r="9" spans="1:3">
      <c r="A9" s="52"/>
      <c r="B9" s="913" t="s">
        <v>228</v>
      </c>
      <c r="C9" s="914"/>
    </row>
    <row r="10" spans="1:3">
      <c r="A10" s="52"/>
      <c r="B10" s="911" t="s">
        <v>156</v>
      </c>
      <c r="C10" s="912" t="s">
        <v>156</v>
      </c>
    </row>
    <row r="11" spans="1:3">
      <c r="A11" s="52"/>
      <c r="B11" s="911" t="s">
        <v>157</v>
      </c>
      <c r="C11" s="912" t="s">
        <v>157</v>
      </c>
    </row>
    <row r="12" spans="1:3">
      <c r="A12" s="52"/>
      <c r="B12" s="911" t="s">
        <v>158</v>
      </c>
      <c r="C12" s="912" t="s">
        <v>158</v>
      </c>
    </row>
    <row r="13" spans="1:3">
      <c r="A13" s="52"/>
      <c r="B13" s="911" t="s">
        <v>159</v>
      </c>
      <c r="C13" s="912" t="s">
        <v>159</v>
      </c>
    </row>
    <row r="14" spans="1:3">
      <c r="A14" s="52"/>
      <c r="B14" s="911" t="s">
        <v>160</v>
      </c>
      <c r="C14" s="912" t="s">
        <v>160</v>
      </c>
    </row>
    <row r="15" spans="1:3" ht="21.75" customHeight="1">
      <c r="A15" s="52"/>
      <c r="B15" s="911" t="s">
        <v>161</v>
      </c>
      <c r="C15" s="912" t="s">
        <v>161</v>
      </c>
    </row>
    <row r="16" spans="1:3">
      <c r="A16" s="52"/>
      <c r="B16" s="911" t="s">
        <v>162</v>
      </c>
      <c r="C16" s="912" t="s">
        <v>163</v>
      </c>
    </row>
    <row r="17" spans="1:6">
      <c r="A17" s="52"/>
      <c r="B17" s="911" t="s">
        <v>164</v>
      </c>
      <c r="C17" s="912" t="s">
        <v>165</v>
      </c>
    </row>
    <row r="18" spans="1:6">
      <c r="A18" s="52"/>
      <c r="B18" s="911" t="s">
        <v>166</v>
      </c>
      <c r="C18" s="912" t="s">
        <v>167</v>
      </c>
    </row>
    <row r="19" spans="1:6">
      <c r="A19" s="135"/>
      <c r="B19" s="909" t="s">
        <v>168</v>
      </c>
      <c r="C19" s="910" t="s">
        <v>168</v>
      </c>
    </row>
    <row r="20" spans="1:6">
      <c r="A20" s="135"/>
      <c r="B20" s="909" t="s">
        <v>859</v>
      </c>
      <c r="C20" s="910" t="s">
        <v>169</v>
      </c>
    </row>
    <row r="21" spans="1:6">
      <c r="A21" s="52"/>
      <c r="B21" s="909" t="s">
        <v>861</v>
      </c>
      <c r="C21" s="910" t="s">
        <v>170</v>
      </c>
    </row>
    <row r="22" spans="1:6" ht="23.25" customHeight="1">
      <c r="A22" s="52"/>
      <c r="B22" s="911" t="s">
        <v>171</v>
      </c>
      <c r="C22" s="912" t="s">
        <v>172</v>
      </c>
      <c r="F22" s="134"/>
    </row>
    <row r="23" spans="1:6">
      <c r="A23" s="52"/>
      <c r="B23" s="911" t="s">
        <v>173</v>
      </c>
      <c r="C23" s="912" t="s">
        <v>173</v>
      </c>
    </row>
    <row r="24" spans="1:6">
      <c r="A24" s="52"/>
      <c r="B24" s="911" t="s">
        <v>174</v>
      </c>
      <c r="C24" s="912" t="s">
        <v>175</v>
      </c>
    </row>
    <row r="25" spans="1:6" ht="12.6" thickBot="1">
      <c r="A25" s="20"/>
      <c r="B25" s="920" t="s">
        <v>176</v>
      </c>
      <c r="C25" s="921"/>
    </row>
    <row r="26" spans="1:6" ht="13.2" thickTop="1" thickBot="1">
      <c r="A26" s="902" t="s">
        <v>764</v>
      </c>
      <c r="B26" s="903"/>
      <c r="C26" s="904"/>
    </row>
    <row r="27" spans="1:6" ht="13.2" thickTop="1" thickBot="1">
      <c r="A27" s="21"/>
      <c r="B27" s="922" t="s">
        <v>765</v>
      </c>
      <c r="C27" s="923"/>
    </row>
    <row r="28" spans="1:6" ht="13.2" thickTop="1" thickBot="1">
      <c r="A28" s="924" t="s">
        <v>230</v>
      </c>
      <c r="B28" s="925"/>
      <c r="C28" s="926"/>
    </row>
    <row r="29" spans="1:6" ht="12.6" thickTop="1">
      <c r="A29" s="19"/>
      <c r="B29" s="927" t="s">
        <v>916</v>
      </c>
      <c r="C29" s="928" t="s">
        <v>177</v>
      </c>
    </row>
    <row r="30" spans="1:6">
      <c r="A30" s="52"/>
      <c r="B30" s="915" t="s">
        <v>917</v>
      </c>
      <c r="C30" s="916" t="s">
        <v>178</v>
      </c>
    </row>
    <row r="31" spans="1:6">
      <c r="A31" s="52"/>
      <c r="B31" s="915" t="s">
        <v>918</v>
      </c>
      <c r="C31" s="916" t="s">
        <v>179</v>
      </c>
    </row>
    <row r="32" spans="1:6">
      <c r="A32" s="52"/>
      <c r="B32" s="915" t="s">
        <v>919</v>
      </c>
      <c r="C32" s="916" t="s">
        <v>180</v>
      </c>
    </row>
    <row r="33" spans="1:3">
      <c r="A33" s="52"/>
      <c r="B33" s="915" t="s">
        <v>920</v>
      </c>
      <c r="C33" s="916" t="s">
        <v>183</v>
      </c>
    </row>
    <row r="34" spans="1:3">
      <c r="A34" s="52"/>
      <c r="B34" s="915" t="s">
        <v>921</v>
      </c>
      <c r="C34" s="916" t="s">
        <v>181</v>
      </c>
    </row>
    <row r="35" spans="1:3">
      <c r="A35" s="52"/>
      <c r="B35" s="915" t="s">
        <v>922</v>
      </c>
      <c r="C35" s="916" t="s">
        <v>182</v>
      </c>
    </row>
    <row r="36" spans="1:3">
      <c r="A36" s="52"/>
      <c r="B36" s="917" t="s">
        <v>923</v>
      </c>
      <c r="C36" s="918"/>
    </row>
    <row r="37" spans="1:3" ht="24.75" customHeight="1">
      <c r="A37" s="52"/>
      <c r="B37" s="915" t="s">
        <v>766</v>
      </c>
      <c r="C37" s="916" t="s">
        <v>184</v>
      </c>
    </row>
    <row r="38" spans="1:3" ht="23.25" customHeight="1">
      <c r="A38" s="52"/>
      <c r="B38" s="915" t="s">
        <v>924</v>
      </c>
      <c r="C38" s="916" t="s">
        <v>185</v>
      </c>
    </row>
    <row r="39" spans="1:3" ht="23.25" customHeight="1">
      <c r="A39" s="63"/>
      <c r="B39" s="917" t="s">
        <v>925</v>
      </c>
      <c r="C39" s="919"/>
    </row>
    <row r="40" spans="1:3" ht="12" customHeight="1">
      <c r="A40" s="52"/>
      <c r="B40" s="915" t="s">
        <v>926</v>
      </c>
      <c r="C40" s="916"/>
    </row>
    <row r="41" spans="1:3" ht="12.6" thickBot="1">
      <c r="A41" s="924" t="s">
        <v>231</v>
      </c>
      <c r="B41" s="925"/>
      <c r="C41" s="926"/>
    </row>
    <row r="42" spans="1:3" ht="12.6" thickTop="1">
      <c r="A42" s="19"/>
      <c r="B42" s="905" t="s">
        <v>258</v>
      </c>
      <c r="C42" s="906" t="s">
        <v>186</v>
      </c>
    </row>
    <row r="43" spans="1:3">
      <c r="A43" s="52"/>
      <c r="B43" s="907" t="s">
        <v>257</v>
      </c>
      <c r="C43" s="908"/>
    </row>
    <row r="44" spans="1:3" ht="23.25" customHeight="1" thickBot="1">
      <c r="A44" s="20"/>
      <c r="B44" s="929" t="s">
        <v>187</v>
      </c>
      <c r="C44" s="930" t="s">
        <v>188</v>
      </c>
    </row>
    <row r="45" spans="1:3" ht="11.25" customHeight="1" thickTop="1" thickBot="1">
      <c r="A45" s="902" t="s">
        <v>232</v>
      </c>
      <c r="B45" s="903"/>
      <c r="C45" s="904"/>
    </row>
    <row r="46" spans="1:3" ht="26.25" customHeight="1" thickTop="1">
      <c r="A46" s="52"/>
      <c r="B46" s="907" t="s">
        <v>927</v>
      </c>
      <c r="C46" s="908"/>
    </row>
    <row r="47" spans="1:3" ht="12.6" thickBot="1">
      <c r="A47" s="902" t="s">
        <v>233</v>
      </c>
      <c r="B47" s="903"/>
      <c r="C47" s="904"/>
    </row>
    <row r="48" spans="1:3" ht="12.6" thickTop="1">
      <c r="A48" s="19"/>
      <c r="B48" s="905" t="s">
        <v>189</v>
      </c>
      <c r="C48" s="906" t="s">
        <v>189</v>
      </c>
    </row>
    <row r="49" spans="1:4" ht="11.25" customHeight="1">
      <c r="A49" s="52"/>
      <c r="B49" s="907" t="s">
        <v>190</v>
      </c>
      <c r="C49" s="908" t="s">
        <v>190</v>
      </c>
    </row>
    <row r="50" spans="1:4">
      <c r="A50" s="52"/>
      <c r="B50" s="907" t="s">
        <v>191</v>
      </c>
      <c r="C50" s="908" t="s">
        <v>191</v>
      </c>
    </row>
    <row r="51" spans="1:4" ht="11.25" customHeight="1">
      <c r="A51" s="52"/>
      <c r="B51" s="907" t="s">
        <v>768</v>
      </c>
      <c r="C51" s="908" t="s">
        <v>192</v>
      </c>
    </row>
    <row r="52" spans="1:4" ht="33.6" customHeight="1">
      <c r="A52" s="52"/>
      <c r="B52" s="907" t="s">
        <v>928</v>
      </c>
      <c r="C52" s="908" t="s">
        <v>193</v>
      </c>
    </row>
    <row r="53" spans="1:4" ht="11.25" customHeight="1">
      <c r="A53" s="52"/>
      <c r="B53" s="907" t="s">
        <v>929</v>
      </c>
      <c r="C53" s="908" t="s">
        <v>194</v>
      </c>
    </row>
    <row r="54" spans="1:4" ht="11.25" customHeight="1" thickBot="1">
      <c r="A54" s="902" t="s">
        <v>234</v>
      </c>
      <c r="B54" s="903"/>
      <c r="C54" s="904"/>
    </row>
    <row r="55" spans="1:4" ht="12.6" thickTop="1">
      <c r="A55" s="19"/>
      <c r="B55" s="905" t="s">
        <v>189</v>
      </c>
      <c r="C55" s="906" t="s">
        <v>189</v>
      </c>
    </row>
    <row r="56" spans="1:4">
      <c r="A56" s="52"/>
      <c r="B56" s="907" t="s">
        <v>195</v>
      </c>
      <c r="C56" s="908" t="s">
        <v>195</v>
      </c>
    </row>
    <row r="57" spans="1:4">
      <c r="A57" s="52"/>
      <c r="B57" s="907" t="s">
        <v>237</v>
      </c>
      <c r="C57" s="908" t="s">
        <v>196</v>
      </c>
    </row>
    <row r="58" spans="1:4">
      <c r="A58" s="52"/>
      <c r="B58" s="907" t="s">
        <v>870</v>
      </c>
      <c r="C58" s="908" t="s">
        <v>197</v>
      </c>
    </row>
    <row r="59" spans="1:4">
      <c r="A59" s="52"/>
      <c r="B59" s="907" t="s">
        <v>198</v>
      </c>
      <c r="C59" s="908" t="s">
        <v>198</v>
      </c>
    </row>
    <row r="60" spans="1:4">
      <c r="A60" s="52"/>
      <c r="B60" s="907" t="s">
        <v>199</v>
      </c>
      <c r="C60" s="908" t="s">
        <v>199</v>
      </c>
    </row>
    <row r="61" spans="1:4">
      <c r="A61" s="52"/>
      <c r="B61" s="907" t="s">
        <v>238</v>
      </c>
      <c r="C61" s="908" t="s">
        <v>200</v>
      </c>
    </row>
    <row r="62" spans="1:4">
      <c r="A62" s="52"/>
      <c r="B62" s="907" t="s">
        <v>895</v>
      </c>
      <c r="C62" s="908" t="s">
        <v>201</v>
      </c>
      <c r="D62" s="143"/>
    </row>
    <row r="63" spans="1:4" ht="12.6" thickBot="1">
      <c r="A63" s="20"/>
      <c r="B63" s="929" t="s">
        <v>202</v>
      </c>
      <c r="C63" s="930" t="s">
        <v>202</v>
      </c>
    </row>
    <row r="64" spans="1:4" ht="11.25" customHeight="1" thickTop="1">
      <c r="A64" s="935" t="s">
        <v>235</v>
      </c>
      <c r="B64" s="936"/>
      <c r="C64" s="937"/>
    </row>
    <row r="65" spans="1:3" ht="12.6" thickBot="1">
      <c r="A65" s="20"/>
      <c r="B65" s="929" t="s">
        <v>203</v>
      </c>
      <c r="C65" s="930" t="s">
        <v>203</v>
      </c>
    </row>
    <row r="66" spans="1:3" ht="11.25" customHeight="1" thickTop="1">
      <c r="A66" s="938"/>
      <c r="B66" s="939"/>
      <c r="C66" s="940"/>
    </row>
    <row r="67" spans="1:3" ht="12.6" thickBot="1">
      <c r="A67" s="20"/>
      <c r="B67" s="929"/>
      <c r="C67" s="930"/>
    </row>
    <row r="68" spans="1:3" ht="11.25" customHeight="1" thickTop="1" thickBot="1">
      <c r="A68" s="902" t="s">
        <v>236</v>
      </c>
      <c r="B68" s="903"/>
      <c r="C68" s="904"/>
    </row>
    <row r="69" spans="1:3" ht="12.6" thickTop="1">
      <c r="A69" s="19"/>
      <c r="B69" s="905" t="s">
        <v>204</v>
      </c>
      <c r="C69" s="906" t="s">
        <v>204</v>
      </c>
    </row>
    <row r="70" spans="1:3">
      <c r="A70" s="52"/>
      <c r="B70" s="907" t="s">
        <v>770</v>
      </c>
      <c r="C70" s="908" t="s">
        <v>205</v>
      </c>
    </row>
    <row r="71" spans="1:3">
      <c r="A71" s="52"/>
      <c r="B71" s="907" t="s">
        <v>206</v>
      </c>
      <c r="C71" s="908" t="s">
        <v>206</v>
      </c>
    </row>
    <row r="72" spans="1:3" ht="55.05" customHeight="1">
      <c r="A72" s="52"/>
      <c r="B72" s="931" t="s">
        <v>938</v>
      </c>
      <c r="C72" s="932" t="s">
        <v>207</v>
      </c>
    </row>
    <row r="73" spans="1:3" ht="33.75" customHeight="1">
      <c r="A73" s="52"/>
      <c r="B73" s="933" t="s">
        <v>239</v>
      </c>
      <c r="C73" s="934" t="s">
        <v>208</v>
      </c>
    </row>
    <row r="74" spans="1:3" ht="15.75" customHeight="1">
      <c r="A74" s="52"/>
      <c r="B74" s="933" t="s">
        <v>771</v>
      </c>
      <c r="C74" s="934" t="s">
        <v>209</v>
      </c>
    </row>
    <row r="75" spans="1:3">
      <c r="A75" s="52"/>
      <c r="B75" s="907" t="s">
        <v>210</v>
      </c>
      <c r="C75" s="908" t="s">
        <v>210</v>
      </c>
    </row>
    <row r="76" spans="1:3" ht="12.6" thickBot="1">
      <c r="A76" s="20"/>
      <c r="B76" s="929" t="s">
        <v>211</v>
      </c>
      <c r="C76" s="930" t="s">
        <v>211</v>
      </c>
    </row>
    <row r="77" spans="1:3" ht="12.6" thickTop="1">
      <c r="A77" s="935" t="s">
        <v>261</v>
      </c>
      <c r="B77" s="936"/>
      <c r="C77" s="937"/>
    </row>
    <row r="78" spans="1:3">
      <c r="A78" s="52"/>
      <c r="B78" s="907" t="s">
        <v>203</v>
      </c>
      <c r="C78" s="908"/>
    </row>
    <row r="79" spans="1:3">
      <c r="A79" s="52"/>
      <c r="B79" s="907" t="s">
        <v>259</v>
      </c>
      <c r="C79" s="908"/>
    </row>
    <row r="80" spans="1:3">
      <c r="A80" s="52"/>
      <c r="B80" s="907" t="s">
        <v>260</v>
      </c>
      <c r="C80" s="908"/>
    </row>
    <row r="81" spans="1:3">
      <c r="A81" s="935" t="s">
        <v>262</v>
      </c>
      <c r="B81" s="936"/>
      <c r="C81" s="937"/>
    </row>
    <row r="82" spans="1:3">
      <c r="A82" s="52"/>
      <c r="B82" s="907" t="s">
        <v>203</v>
      </c>
      <c r="C82" s="908"/>
    </row>
    <row r="83" spans="1:3">
      <c r="A83" s="52"/>
      <c r="B83" s="907" t="s">
        <v>263</v>
      </c>
      <c r="C83" s="908"/>
    </row>
    <row r="84" spans="1:3" ht="79.5" customHeight="1">
      <c r="A84" s="52"/>
      <c r="B84" s="907" t="s">
        <v>276</v>
      </c>
      <c r="C84" s="908"/>
    </row>
    <row r="85" spans="1:3">
      <c r="A85" s="52"/>
      <c r="B85" s="907"/>
      <c r="C85" s="908"/>
    </row>
    <row r="86" spans="1:3">
      <c r="A86" s="52"/>
      <c r="B86" s="907" t="s">
        <v>264</v>
      </c>
      <c r="C86" s="908"/>
    </row>
    <row r="87" spans="1:3" ht="5.4" customHeight="1">
      <c r="A87" s="52"/>
      <c r="B87" s="907" t="s">
        <v>265</v>
      </c>
      <c r="C87" s="908"/>
    </row>
    <row r="88" spans="1:3" hidden="1">
      <c r="A88" s="52"/>
      <c r="B88" s="907" t="s">
        <v>266</v>
      </c>
      <c r="C88" s="908"/>
    </row>
    <row r="89" spans="1:3">
      <c r="A89" s="935" t="s">
        <v>267</v>
      </c>
      <c r="B89" s="936"/>
      <c r="C89" s="937"/>
    </row>
    <row r="90" spans="1:3">
      <c r="A90" s="52"/>
      <c r="B90" s="907" t="s">
        <v>203</v>
      </c>
      <c r="C90" s="908"/>
    </row>
    <row r="91" spans="1:3">
      <c r="A91" s="52"/>
      <c r="B91" s="907" t="s">
        <v>269</v>
      </c>
      <c r="C91" s="908"/>
    </row>
    <row r="92" spans="1:3" ht="12" customHeight="1">
      <c r="A92" s="52"/>
      <c r="B92" s="907" t="s">
        <v>270</v>
      </c>
      <c r="C92" s="908"/>
    </row>
    <row r="93" spans="1:3">
      <c r="A93" s="52"/>
      <c r="B93" s="907" t="s">
        <v>271</v>
      </c>
      <c r="C93" s="908"/>
    </row>
    <row r="94" spans="1:3" ht="24.75" customHeight="1">
      <c r="A94" s="52"/>
      <c r="B94" s="915" t="s">
        <v>304</v>
      </c>
      <c r="C94" s="916"/>
    </row>
    <row r="95" spans="1:3" ht="24" customHeight="1">
      <c r="A95" s="52"/>
      <c r="B95" s="915" t="s">
        <v>305</v>
      </c>
      <c r="C95" s="916"/>
    </row>
    <row r="96" spans="1:3" ht="13.5" customHeight="1">
      <c r="A96" s="52"/>
      <c r="B96" s="915" t="s">
        <v>272</v>
      </c>
      <c r="C96" s="916"/>
    </row>
    <row r="97" spans="1:3" ht="11.25" customHeight="1" thickBot="1">
      <c r="A97" s="941" t="s">
        <v>300</v>
      </c>
      <c r="B97" s="942"/>
      <c r="C97" s="943"/>
    </row>
    <row r="98" spans="1:3" ht="13.2" thickTop="1" thickBot="1">
      <c r="A98" s="950" t="s">
        <v>212</v>
      </c>
      <c r="B98" s="950"/>
      <c r="C98" s="950"/>
    </row>
    <row r="99" spans="1:3">
      <c r="A99" s="30">
        <v>2</v>
      </c>
      <c r="B99" s="45" t="s">
        <v>280</v>
      </c>
      <c r="C99" s="45" t="s">
        <v>301</v>
      </c>
    </row>
    <row r="100" spans="1:3">
      <c r="A100" s="24">
        <v>3</v>
      </c>
      <c r="B100" s="46" t="s">
        <v>281</v>
      </c>
      <c r="C100" s="47" t="s">
        <v>302</v>
      </c>
    </row>
    <row r="101" spans="1:3">
      <c r="A101" s="24">
        <v>4</v>
      </c>
      <c r="B101" s="46" t="s">
        <v>282</v>
      </c>
      <c r="C101" s="47" t="s">
        <v>306</v>
      </c>
    </row>
    <row r="102" spans="1:3" ht="11.25" customHeight="1">
      <c r="A102" s="24">
        <v>5</v>
      </c>
      <c r="B102" s="46" t="s">
        <v>283</v>
      </c>
      <c r="C102" s="47" t="s">
        <v>303</v>
      </c>
    </row>
    <row r="103" spans="1:3" ht="12" customHeight="1">
      <c r="A103" s="24">
        <v>6</v>
      </c>
      <c r="B103" s="46" t="s">
        <v>298</v>
      </c>
      <c r="C103" s="47" t="s">
        <v>284</v>
      </c>
    </row>
    <row r="104" spans="1:3" ht="12" customHeight="1">
      <c r="A104" s="24">
        <v>7</v>
      </c>
      <c r="B104" s="46" t="s">
        <v>285</v>
      </c>
      <c r="C104" s="47" t="s">
        <v>299</v>
      </c>
    </row>
    <row r="105" spans="1:3">
      <c r="A105" s="24">
        <v>8</v>
      </c>
      <c r="B105" s="46" t="s">
        <v>290</v>
      </c>
      <c r="C105" s="47" t="s">
        <v>310</v>
      </c>
    </row>
    <row r="106" spans="1:3" ht="11.25" customHeight="1">
      <c r="A106" s="935" t="s">
        <v>273</v>
      </c>
      <c r="B106" s="936"/>
      <c r="C106" s="937"/>
    </row>
    <row r="107" spans="1:3" ht="12" customHeight="1">
      <c r="A107" s="52"/>
      <c r="B107" s="907" t="s">
        <v>203</v>
      </c>
      <c r="C107" s="908"/>
    </row>
    <row r="108" spans="1:3">
      <c r="A108" s="935" t="s">
        <v>420</v>
      </c>
      <c r="B108" s="936"/>
      <c r="C108" s="937"/>
    </row>
    <row r="109" spans="1:3" ht="12" customHeight="1">
      <c r="A109" s="52"/>
      <c r="B109" s="907" t="s">
        <v>422</v>
      </c>
      <c r="C109" s="908"/>
    </row>
    <row r="110" spans="1:3">
      <c r="A110" s="52"/>
      <c r="B110" s="907" t="s">
        <v>423</v>
      </c>
      <c r="C110" s="908"/>
    </row>
    <row r="111" spans="1:3">
      <c r="A111" s="52"/>
      <c r="B111" s="907" t="s">
        <v>421</v>
      </c>
      <c r="C111" s="908"/>
    </row>
    <row r="112" spans="1:3">
      <c r="A112" s="944" t="s">
        <v>646</v>
      </c>
      <c r="B112" s="944"/>
      <c r="C112" s="944"/>
    </row>
    <row r="113" spans="1:3">
      <c r="A113" s="945" t="s">
        <v>152</v>
      </c>
      <c r="B113" s="945"/>
      <c r="C113" s="945"/>
    </row>
    <row r="114" spans="1:3">
      <c r="A114" s="121">
        <v>1</v>
      </c>
      <c r="B114" s="946" t="s">
        <v>930</v>
      </c>
      <c r="C114" s="947"/>
    </row>
    <row r="115" spans="1:3">
      <c r="A115" s="121">
        <v>2</v>
      </c>
      <c r="B115" s="948" t="s">
        <v>931</v>
      </c>
      <c r="C115" s="949"/>
    </row>
    <row r="116" spans="1:3">
      <c r="A116" s="121">
        <v>3</v>
      </c>
      <c r="B116" s="946" t="s">
        <v>844</v>
      </c>
      <c r="C116" s="947"/>
    </row>
    <row r="117" spans="1:3">
      <c r="A117" s="121">
        <v>4</v>
      </c>
      <c r="B117" s="946" t="s">
        <v>843</v>
      </c>
      <c r="C117" s="947"/>
    </row>
    <row r="118" spans="1:3">
      <c r="A118" s="121">
        <v>5</v>
      </c>
      <c r="B118" s="144" t="s">
        <v>842</v>
      </c>
      <c r="C118" s="145"/>
    </row>
    <row r="119" spans="1:3">
      <c r="A119" s="121">
        <v>6</v>
      </c>
      <c r="B119" s="946" t="s">
        <v>866</v>
      </c>
      <c r="C119" s="947"/>
    </row>
    <row r="120" spans="1:3" ht="48.45" customHeight="1">
      <c r="A120" s="121">
        <v>7</v>
      </c>
      <c r="B120" s="946" t="s">
        <v>867</v>
      </c>
      <c r="C120" s="947"/>
    </row>
    <row r="121" spans="1:3">
      <c r="A121" s="100">
        <v>8</v>
      </c>
      <c r="B121" s="95" t="s">
        <v>562</v>
      </c>
      <c r="C121" s="118" t="s">
        <v>841</v>
      </c>
    </row>
    <row r="122" spans="1:3" ht="24">
      <c r="A122" s="121">
        <v>9.01</v>
      </c>
      <c r="B122" s="95" t="s">
        <v>449</v>
      </c>
      <c r="C122" s="96" t="s">
        <v>609</v>
      </c>
    </row>
    <row r="123" spans="1:3" ht="36">
      <c r="A123" s="121">
        <v>9.02</v>
      </c>
      <c r="B123" s="95" t="s">
        <v>450</v>
      </c>
      <c r="C123" s="96" t="s">
        <v>932</v>
      </c>
    </row>
    <row r="124" spans="1:3">
      <c r="A124" s="121">
        <v>9.0299999999999994</v>
      </c>
      <c r="B124" s="96" t="s">
        <v>779</v>
      </c>
      <c r="C124" s="96" t="s">
        <v>537</v>
      </c>
    </row>
    <row r="125" spans="1:3">
      <c r="A125" s="121">
        <v>9.0399999999999991</v>
      </c>
      <c r="B125" s="95" t="s">
        <v>451</v>
      </c>
      <c r="C125" s="96" t="s">
        <v>538</v>
      </c>
    </row>
    <row r="126" spans="1:3">
      <c r="A126" s="121">
        <v>9.0500000000000007</v>
      </c>
      <c r="B126" s="95" t="s">
        <v>452</v>
      </c>
      <c r="C126" s="96" t="s">
        <v>539</v>
      </c>
    </row>
    <row r="127" spans="1:3" ht="24">
      <c r="A127" s="121">
        <v>9.06</v>
      </c>
      <c r="B127" s="95" t="s">
        <v>453</v>
      </c>
      <c r="C127" s="96" t="s">
        <v>540</v>
      </c>
    </row>
    <row r="128" spans="1:3">
      <c r="A128" s="121">
        <v>9.07</v>
      </c>
      <c r="B128" s="123" t="s">
        <v>454</v>
      </c>
      <c r="C128" s="96" t="s">
        <v>541</v>
      </c>
    </row>
    <row r="129" spans="1:3" ht="24">
      <c r="A129" s="121">
        <v>9.08</v>
      </c>
      <c r="B129" s="95" t="s">
        <v>455</v>
      </c>
      <c r="C129" s="96" t="s">
        <v>542</v>
      </c>
    </row>
    <row r="130" spans="1:3" ht="24">
      <c r="A130" s="121">
        <v>9.09</v>
      </c>
      <c r="B130" s="95" t="s">
        <v>456</v>
      </c>
      <c r="C130" s="96" t="s">
        <v>543</v>
      </c>
    </row>
    <row r="131" spans="1:3">
      <c r="A131" s="122">
        <v>9.1</v>
      </c>
      <c r="B131" s="95" t="s">
        <v>457</v>
      </c>
      <c r="C131" s="96" t="s">
        <v>544</v>
      </c>
    </row>
    <row r="132" spans="1:3">
      <c r="A132" s="121">
        <v>9.11</v>
      </c>
      <c r="B132" s="95" t="s">
        <v>458</v>
      </c>
      <c r="C132" s="96" t="s">
        <v>545</v>
      </c>
    </row>
    <row r="133" spans="1:3">
      <c r="A133" s="121">
        <v>9.1199999999999992</v>
      </c>
      <c r="B133" s="95" t="s">
        <v>459</v>
      </c>
      <c r="C133" s="96" t="s">
        <v>546</v>
      </c>
    </row>
    <row r="134" spans="1:3">
      <c r="A134" s="121">
        <v>9.1300000000000008</v>
      </c>
      <c r="B134" s="95" t="s">
        <v>460</v>
      </c>
      <c r="C134" s="96" t="s">
        <v>547</v>
      </c>
    </row>
    <row r="135" spans="1:3">
      <c r="A135" s="121">
        <v>9.14</v>
      </c>
      <c r="B135" s="95" t="s">
        <v>461</v>
      </c>
      <c r="C135" s="96" t="s">
        <v>548</v>
      </c>
    </row>
    <row r="136" spans="1:3">
      <c r="A136" s="121">
        <v>9.15</v>
      </c>
      <c r="B136" s="95" t="s">
        <v>462</v>
      </c>
      <c r="C136" s="96" t="s">
        <v>549</v>
      </c>
    </row>
    <row r="137" spans="1:3">
      <c r="A137" s="121">
        <v>9.16</v>
      </c>
      <c r="B137" s="95" t="s">
        <v>463</v>
      </c>
      <c r="C137" s="96" t="s">
        <v>550</v>
      </c>
    </row>
    <row r="138" spans="1:3">
      <c r="A138" s="121">
        <v>9.17</v>
      </c>
      <c r="B138" s="96" t="s">
        <v>464</v>
      </c>
      <c r="C138" s="96" t="s">
        <v>551</v>
      </c>
    </row>
    <row r="139" spans="1:3" ht="24">
      <c r="A139" s="121">
        <v>9.18</v>
      </c>
      <c r="B139" s="95" t="s">
        <v>465</v>
      </c>
      <c r="C139" s="96" t="s">
        <v>552</v>
      </c>
    </row>
    <row r="140" spans="1:3">
      <c r="A140" s="121">
        <v>9.19</v>
      </c>
      <c r="B140" s="95" t="s">
        <v>466</v>
      </c>
      <c r="C140" s="96" t="s">
        <v>553</v>
      </c>
    </row>
    <row r="141" spans="1:3">
      <c r="A141" s="122">
        <v>9.1999999999999993</v>
      </c>
      <c r="B141" s="95" t="s">
        <v>467</v>
      </c>
      <c r="C141" s="96" t="s">
        <v>554</v>
      </c>
    </row>
    <row r="142" spans="1:3">
      <c r="A142" s="121">
        <v>9.2100000000000009</v>
      </c>
      <c r="B142" s="95" t="s">
        <v>468</v>
      </c>
      <c r="C142" s="96" t="s">
        <v>555</v>
      </c>
    </row>
    <row r="143" spans="1:3">
      <c r="A143" s="121">
        <v>9.2200000000000006</v>
      </c>
      <c r="B143" s="95" t="s">
        <v>469</v>
      </c>
      <c r="C143" s="96" t="s">
        <v>556</v>
      </c>
    </row>
    <row r="144" spans="1:3" ht="24">
      <c r="A144" s="121">
        <v>9.23</v>
      </c>
      <c r="B144" s="95" t="s">
        <v>470</v>
      </c>
      <c r="C144" s="96" t="s">
        <v>557</v>
      </c>
    </row>
    <row r="145" spans="1:3" ht="24">
      <c r="A145" s="121">
        <v>9.24</v>
      </c>
      <c r="B145" s="95" t="s">
        <v>471</v>
      </c>
      <c r="C145" s="96" t="s">
        <v>558</v>
      </c>
    </row>
    <row r="146" spans="1:3">
      <c r="A146" s="121">
        <v>9.2500000000000107</v>
      </c>
      <c r="B146" s="95" t="s">
        <v>472</v>
      </c>
      <c r="C146" s="96" t="s">
        <v>559</v>
      </c>
    </row>
    <row r="147" spans="1:3" ht="24">
      <c r="A147" s="121">
        <v>9.2600000000000193</v>
      </c>
      <c r="B147" s="95" t="s">
        <v>560</v>
      </c>
      <c r="C147" s="120" t="s">
        <v>561</v>
      </c>
    </row>
    <row r="148" spans="1:3" s="53" customFormat="1" ht="24">
      <c r="A148" s="121">
        <v>9.2700000000000298</v>
      </c>
      <c r="B148" s="95" t="s">
        <v>79</v>
      </c>
      <c r="C148" s="120" t="s">
        <v>610</v>
      </c>
    </row>
    <row r="149" spans="1:3" s="53" customFormat="1">
      <c r="A149" s="101"/>
      <c r="B149" s="952" t="s">
        <v>563</v>
      </c>
      <c r="C149" s="953"/>
    </row>
    <row r="150" spans="1:3" s="53" customFormat="1">
      <c r="A150" s="100">
        <v>1</v>
      </c>
      <c r="B150" s="954" t="s">
        <v>840</v>
      </c>
      <c r="C150" s="955"/>
    </row>
    <row r="151" spans="1:3" s="53" customFormat="1">
      <c r="A151" s="100">
        <v>2</v>
      </c>
      <c r="B151" s="954" t="s">
        <v>933</v>
      </c>
      <c r="C151" s="955"/>
    </row>
    <row r="152" spans="1:3" s="53" customFormat="1" ht="12" customHeight="1" thickBot="1">
      <c r="A152" s="100">
        <v>3</v>
      </c>
      <c r="B152" s="922" t="s">
        <v>608</v>
      </c>
      <c r="C152" s="923"/>
    </row>
    <row r="153" spans="1:3" s="53" customFormat="1" ht="12.6" thickTop="1">
      <c r="A153" s="101"/>
      <c r="B153" s="952" t="s">
        <v>564</v>
      </c>
      <c r="C153" s="953"/>
    </row>
    <row r="154" spans="1:3" s="53" customFormat="1">
      <c r="A154" s="100">
        <v>1</v>
      </c>
      <c r="B154" s="957" t="s">
        <v>839</v>
      </c>
      <c r="C154" s="962"/>
    </row>
    <row r="155" spans="1:3" s="53" customFormat="1">
      <c r="A155" s="100">
        <v>2</v>
      </c>
      <c r="B155" s="95" t="s">
        <v>777</v>
      </c>
      <c r="C155" s="136" t="s">
        <v>862</v>
      </c>
    </row>
    <row r="156" spans="1:3" ht="24">
      <c r="A156" s="100">
        <v>3</v>
      </c>
      <c r="B156" s="95" t="s">
        <v>776</v>
      </c>
      <c r="C156" s="118" t="s">
        <v>838</v>
      </c>
    </row>
    <row r="157" spans="1:3">
      <c r="A157" s="100">
        <v>4</v>
      </c>
      <c r="B157" s="95" t="s">
        <v>442</v>
      </c>
      <c r="C157" s="95" t="s">
        <v>855</v>
      </c>
    </row>
    <row r="158" spans="1:3" ht="25.05" customHeight="1">
      <c r="A158" s="101"/>
      <c r="B158" s="960" t="s">
        <v>565</v>
      </c>
      <c r="C158" s="961"/>
    </row>
    <row r="159" spans="1:3" ht="36">
      <c r="A159" s="100"/>
      <c r="B159" s="95" t="s">
        <v>828</v>
      </c>
      <c r="C159" s="137" t="s">
        <v>863</v>
      </c>
    </row>
    <row r="160" spans="1:3">
      <c r="A160" s="101"/>
      <c r="B160" s="960" t="s">
        <v>566</v>
      </c>
      <c r="C160" s="961"/>
    </row>
    <row r="161" spans="1:3" ht="39" customHeight="1">
      <c r="A161" s="101"/>
      <c r="B161" s="954" t="s">
        <v>837</v>
      </c>
      <c r="C161" s="955"/>
    </row>
    <row r="162" spans="1:3">
      <c r="A162" s="101" t="s">
        <v>567</v>
      </c>
      <c r="B162" s="119" t="s">
        <v>480</v>
      </c>
      <c r="C162" s="112" t="s">
        <v>568</v>
      </c>
    </row>
    <row r="163" spans="1:3">
      <c r="A163" s="101" t="s">
        <v>323</v>
      </c>
      <c r="B163" s="116" t="s">
        <v>481</v>
      </c>
      <c r="C163" s="118" t="s">
        <v>836</v>
      </c>
    </row>
    <row r="164" spans="1:3" ht="24">
      <c r="A164" s="101" t="s">
        <v>328</v>
      </c>
      <c r="B164" s="112" t="s">
        <v>482</v>
      </c>
      <c r="C164" s="118" t="s">
        <v>569</v>
      </c>
    </row>
    <row r="165" spans="1:3">
      <c r="A165" s="101" t="s">
        <v>570</v>
      </c>
      <c r="B165" s="116" t="s">
        <v>483</v>
      </c>
      <c r="C165" s="117" t="s">
        <v>571</v>
      </c>
    </row>
    <row r="166" spans="1:3" ht="24">
      <c r="A166" s="101" t="s">
        <v>572</v>
      </c>
      <c r="B166" s="116" t="s">
        <v>792</v>
      </c>
      <c r="C166" s="111" t="s">
        <v>835</v>
      </c>
    </row>
    <row r="167" spans="1:3" ht="24">
      <c r="A167" s="101" t="s">
        <v>329</v>
      </c>
      <c r="B167" s="116" t="s">
        <v>484</v>
      </c>
      <c r="C167" s="111" t="s">
        <v>574</v>
      </c>
    </row>
    <row r="168" spans="1:3" ht="24">
      <c r="A168" s="101" t="s">
        <v>573</v>
      </c>
      <c r="B168" s="114" t="s">
        <v>487</v>
      </c>
      <c r="C168" s="115" t="s">
        <v>581</v>
      </c>
    </row>
    <row r="169" spans="1:3" ht="24">
      <c r="A169" s="101" t="s">
        <v>575</v>
      </c>
      <c r="B169" s="114" t="s">
        <v>485</v>
      </c>
      <c r="C169" s="111" t="s">
        <v>577</v>
      </c>
    </row>
    <row r="170" spans="1:3" ht="26.55" customHeight="1">
      <c r="A170" s="101" t="s">
        <v>576</v>
      </c>
      <c r="B170" s="114" t="s">
        <v>486</v>
      </c>
      <c r="C170" s="115" t="s">
        <v>579</v>
      </c>
    </row>
    <row r="171" spans="1:3" ht="24">
      <c r="A171" s="101" t="s">
        <v>578</v>
      </c>
      <c r="B171" s="96" t="s">
        <v>488</v>
      </c>
      <c r="C171" s="115" t="s">
        <v>583</v>
      </c>
    </row>
    <row r="172" spans="1:3" ht="24">
      <c r="A172" s="101" t="s">
        <v>580</v>
      </c>
      <c r="B172" s="114" t="s">
        <v>489</v>
      </c>
      <c r="C172" s="146" t="s">
        <v>584</v>
      </c>
    </row>
    <row r="173" spans="1:3">
      <c r="A173" s="101" t="s">
        <v>582</v>
      </c>
      <c r="B173" s="113" t="s">
        <v>490</v>
      </c>
      <c r="C173" s="112" t="s">
        <v>585</v>
      </c>
    </row>
    <row r="174" spans="1:3" ht="24">
      <c r="A174" s="101"/>
      <c r="B174" s="111" t="s">
        <v>834</v>
      </c>
      <c r="C174" s="96" t="s">
        <v>586</v>
      </c>
    </row>
    <row r="175" spans="1:3" ht="24">
      <c r="A175" s="101"/>
      <c r="B175" s="111" t="s">
        <v>833</v>
      </c>
      <c r="C175" s="96" t="s">
        <v>587</v>
      </c>
    </row>
    <row r="176" spans="1:3" ht="24">
      <c r="A176" s="101"/>
      <c r="B176" s="111" t="s">
        <v>832</v>
      </c>
      <c r="C176" s="96" t="s">
        <v>588</v>
      </c>
    </row>
    <row r="177" spans="1:3">
      <c r="A177" s="101"/>
      <c r="B177" s="952" t="s">
        <v>589</v>
      </c>
      <c r="C177" s="953"/>
    </row>
    <row r="178" spans="1:3">
      <c r="A178" s="101"/>
      <c r="B178" s="954" t="s">
        <v>934</v>
      </c>
      <c r="C178" s="955"/>
    </row>
    <row r="179" spans="1:3">
      <c r="A179" s="100">
        <v>1</v>
      </c>
      <c r="B179" s="96" t="s">
        <v>494</v>
      </c>
      <c r="C179" s="96" t="s">
        <v>494</v>
      </c>
    </row>
    <row r="180" spans="1:3" ht="24">
      <c r="A180" s="100">
        <v>2</v>
      </c>
      <c r="B180" s="96" t="s">
        <v>590</v>
      </c>
      <c r="C180" s="96" t="s">
        <v>591</v>
      </c>
    </row>
    <row r="181" spans="1:3">
      <c r="A181" s="100">
        <v>3</v>
      </c>
      <c r="B181" s="96" t="s">
        <v>496</v>
      </c>
      <c r="C181" s="96" t="s">
        <v>935</v>
      </c>
    </row>
    <row r="182" spans="1:3" ht="24">
      <c r="A182" s="100">
        <v>4</v>
      </c>
      <c r="B182" s="96" t="s">
        <v>497</v>
      </c>
      <c r="C182" s="96" t="s">
        <v>592</v>
      </c>
    </row>
    <row r="183" spans="1:3" ht="24">
      <c r="A183" s="100">
        <v>5</v>
      </c>
      <c r="B183" s="96" t="s">
        <v>498</v>
      </c>
      <c r="C183" s="96" t="s">
        <v>611</v>
      </c>
    </row>
    <row r="184" spans="1:3" ht="48">
      <c r="A184" s="100">
        <v>6</v>
      </c>
      <c r="B184" s="96" t="s">
        <v>499</v>
      </c>
      <c r="C184" s="96" t="s">
        <v>593</v>
      </c>
    </row>
    <row r="185" spans="1:3">
      <c r="A185" s="101"/>
      <c r="B185" s="952" t="s">
        <v>594</v>
      </c>
      <c r="C185" s="953"/>
    </row>
    <row r="186" spans="1:3">
      <c r="A186" s="101"/>
      <c r="B186" s="956" t="s">
        <v>831</v>
      </c>
      <c r="C186" s="957"/>
    </row>
    <row r="187" spans="1:3" ht="24">
      <c r="A187" s="101">
        <v>1.1000000000000001</v>
      </c>
      <c r="B187" s="110" t="s">
        <v>504</v>
      </c>
      <c r="C187" s="96" t="s">
        <v>595</v>
      </c>
    </row>
    <row r="188" spans="1:3" s="154" customFormat="1">
      <c r="A188" s="152" t="s">
        <v>129</v>
      </c>
      <c r="B188" s="153" t="s">
        <v>505</v>
      </c>
      <c r="C188" s="112" t="s">
        <v>596</v>
      </c>
    </row>
    <row r="189" spans="1:3">
      <c r="A189" s="101" t="s">
        <v>506</v>
      </c>
      <c r="B189" s="109" t="s">
        <v>507</v>
      </c>
      <c r="C189" s="958" t="s">
        <v>830</v>
      </c>
    </row>
    <row r="190" spans="1:3">
      <c r="A190" s="101" t="s">
        <v>508</v>
      </c>
      <c r="B190" s="109" t="s">
        <v>509</v>
      </c>
      <c r="C190" s="958"/>
    </row>
    <row r="191" spans="1:3">
      <c r="A191" s="101" t="s">
        <v>510</v>
      </c>
      <c r="B191" s="109" t="s">
        <v>511</v>
      </c>
      <c r="C191" s="958"/>
    </row>
    <row r="192" spans="1:3">
      <c r="A192" s="101" t="s">
        <v>512</v>
      </c>
      <c r="B192" s="109" t="s">
        <v>513</v>
      </c>
      <c r="C192" s="958"/>
    </row>
    <row r="193" spans="1:4" ht="25.5" customHeight="1">
      <c r="A193" s="101">
        <v>1.2</v>
      </c>
      <c r="B193" s="108" t="s">
        <v>806</v>
      </c>
      <c r="C193" s="95" t="s">
        <v>864</v>
      </c>
    </row>
    <row r="194" spans="1:4" ht="24">
      <c r="A194" s="101" t="s">
        <v>515</v>
      </c>
      <c r="B194" s="103" t="s">
        <v>516</v>
      </c>
      <c r="C194" s="106" t="s">
        <v>597</v>
      </c>
    </row>
    <row r="195" spans="1:4" ht="24">
      <c r="A195" s="101" t="s">
        <v>517</v>
      </c>
      <c r="B195" s="107" t="s">
        <v>518</v>
      </c>
      <c r="C195" s="106" t="s">
        <v>598</v>
      </c>
    </row>
    <row r="196" spans="1:4" ht="25.95" customHeight="1">
      <c r="A196" s="101" t="s">
        <v>519</v>
      </c>
      <c r="B196" s="105" t="s">
        <v>520</v>
      </c>
      <c r="C196" s="95" t="s">
        <v>599</v>
      </c>
    </row>
    <row r="197" spans="1:4" ht="24">
      <c r="A197" s="101" t="s">
        <v>521</v>
      </c>
      <c r="B197" s="104" t="s">
        <v>522</v>
      </c>
      <c r="C197" s="95" t="s">
        <v>600</v>
      </c>
      <c r="D197" s="54"/>
    </row>
    <row r="198" spans="1:4" ht="12.6">
      <c r="A198" s="101">
        <v>1.4</v>
      </c>
      <c r="B198" s="103" t="s">
        <v>607</v>
      </c>
      <c r="C198" s="102" t="s">
        <v>601</v>
      </c>
      <c r="D198" s="55"/>
    </row>
    <row r="199" spans="1:4" ht="24">
      <c r="A199" s="101">
        <v>1.5</v>
      </c>
      <c r="B199" s="103" t="s">
        <v>914</v>
      </c>
      <c r="C199" s="102" t="s">
        <v>601</v>
      </c>
      <c r="D199" s="56"/>
    </row>
    <row r="200" spans="1:4" ht="12.6">
      <c r="A200" s="101"/>
      <c r="B200" s="944" t="s">
        <v>602</v>
      </c>
      <c r="C200" s="944"/>
      <c r="D200" s="56"/>
    </row>
    <row r="201" spans="1:4" ht="12.6">
      <c r="A201" s="101"/>
      <c r="B201" s="956" t="s">
        <v>829</v>
      </c>
      <c r="C201" s="956"/>
      <c r="D201" s="56"/>
    </row>
    <row r="202" spans="1:4" ht="12.6">
      <c r="A202" s="100"/>
      <c r="B202" s="95" t="s">
        <v>828</v>
      </c>
      <c r="C202" s="147" t="s">
        <v>862</v>
      </c>
      <c r="D202" s="56"/>
    </row>
    <row r="203" spans="1:4" ht="12.6">
      <c r="A203" s="101"/>
      <c r="B203" s="944" t="s">
        <v>603</v>
      </c>
      <c r="C203" s="944"/>
      <c r="D203" s="57"/>
    </row>
    <row r="204" spans="1:4" ht="12.6">
      <c r="A204" s="100"/>
      <c r="B204" s="956" t="s">
        <v>827</v>
      </c>
      <c r="C204" s="956"/>
      <c r="D204" s="58"/>
    </row>
    <row r="205" spans="1:4" ht="12.6">
      <c r="B205" s="944" t="s">
        <v>636</v>
      </c>
      <c r="C205" s="944"/>
      <c r="D205" s="59"/>
    </row>
    <row r="206" spans="1:4" ht="24">
      <c r="A206" s="97">
        <v>1</v>
      </c>
      <c r="B206" s="95" t="s">
        <v>613</v>
      </c>
      <c r="C206" s="95" t="s">
        <v>625</v>
      </c>
      <c r="D206" s="58"/>
    </row>
    <row r="207" spans="1:4" ht="18" customHeight="1">
      <c r="A207" s="97">
        <v>2</v>
      </c>
      <c r="B207" s="95" t="s">
        <v>614</v>
      </c>
      <c r="C207" s="95" t="s">
        <v>626</v>
      </c>
      <c r="D207" s="59"/>
    </row>
    <row r="208" spans="1:4" ht="24">
      <c r="A208" s="97">
        <v>3</v>
      </c>
      <c r="B208" s="95" t="s">
        <v>615</v>
      </c>
      <c r="C208" s="95" t="s">
        <v>627</v>
      </c>
      <c r="D208" s="60"/>
    </row>
    <row r="209" spans="1:4" ht="12.6">
      <c r="A209" s="97">
        <v>4</v>
      </c>
      <c r="B209" s="95" t="s">
        <v>616</v>
      </c>
      <c r="C209" s="95" t="s">
        <v>628</v>
      </c>
      <c r="D209" s="60"/>
    </row>
    <row r="210" spans="1:4" ht="24">
      <c r="A210" s="97">
        <v>5</v>
      </c>
      <c r="B210" s="95" t="s">
        <v>617</v>
      </c>
      <c r="C210" s="95" t="s">
        <v>629</v>
      </c>
    </row>
    <row r="211" spans="1:4" ht="24.45" customHeight="1">
      <c r="A211" s="97">
        <v>6</v>
      </c>
      <c r="B211" s="95" t="s">
        <v>618</v>
      </c>
      <c r="C211" s="95" t="s">
        <v>630</v>
      </c>
    </row>
    <row r="212" spans="1:4" ht="24">
      <c r="A212" s="97">
        <v>7</v>
      </c>
      <c r="B212" s="95" t="s">
        <v>619</v>
      </c>
      <c r="C212" s="95" t="s">
        <v>936</v>
      </c>
    </row>
    <row r="213" spans="1:4">
      <c r="A213" s="97">
        <v>7.1</v>
      </c>
      <c r="B213" s="99" t="s">
        <v>620</v>
      </c>
      <c r="C213" s="95" t="s">
        <v>631</v>
      </c>
    </row>
    <row r="214" spans="1:4">
      <c r="A214" s="97">
        <v>7.2</v>
      </c>
      <c r="B214" s="99" t="s">
        <v>621</v>
      </c>
      <c r="C214" s="95" t="s">
        <v>632</v>
      </c>
    </row>
    <row r="215" spans="1:4">
      <c r="A215" s="97">
        <v>7.3</v>
      </c>
      <c r="B215" s="98" t="s">
        <v>622</v>
      </c>
      <c r="C215" s="95" t="s">
        <v>633</v>
      </c>
    </row>
    <row r="216" spans="1:4" ht="39.450000000000003" customHeight="1">
      <c r="A216" s="97">
        <v>8</v>
      </c>
      <c r="B216" s="95" t="s">
        <v>623</v>
      </c>
      <c r="C216" s="95" t="s">
        <v>634</v>
      </c>
    </row>
    <row r="217" spans="1:4">
      <c r="A217" s="97">
        <v>9</v>
      </c>
      <c r="B217" s="95" t="s">
        <v>624</v>
      </c>
      <c r="C217" s="95" t="s">
        <v>635</v>
      </c>
    </row>
    <row r="218" spans="1:4" ht="24">
      <c r="A218" s="131">
        <v>10.1</v>
      </c>
      <c r="B218" s="132" t="s">
        <v>643</v>
      </c>
      <c r="C218" s="124" t="s">
        <v>644</v>
      </c>
    </row>
    <row r="219" spans="1:4">
      <c r="A219" s="959"/>
      <c r="B219" s="133" t="s">
        <v>819</v>
      </c>
      <c r="C219" s="95" t="s">
        <v>826</v>
      </c>
    </row>
    <row r="220" spans="1:4">
      <c r="A220" s="959"/>
      <c r="B220" s="96" t="s">
        <v>503</v>
      </c>
      <c r="C220" s="95" t="s">
        <v>825</v>
      </c>
    </row>
    <row r="221" spans="1:4">
      <c r="A221" s="959"/>
      <c r="B221" s="96" t="s">
        <v>818</v>
      </c>
      <c r="C221" s="95" t="s">
        <v>937</v>
      </c>
    </row>
    <row r="222" spans="1:4">
      <c r="A222" s="959"/>
      <c r="B222" s="96" t="s">
        <v>637</v>
      </c>
      <c r="C222" s="95" t="s">
        <v>824</v>
      </c>
    </row>
    <row r="223" spans="1:4" ht="24">
      <c r="A223" s="959"/>
      <c r="B223" s="96" t="s">
        <v>641</v>
      </c>
      <c r="C223" s="96" t="s">
        <v>823</v>
      </c>
    </row>
    <row r="224" spans="1:4" ht="36">
      <c r="A224" s="959"/>
      <c r="B224" s="96" t="s">
        <v>640</v>
      </c>
      <c r="C224" s="95" t="s">
        <v>822</v>
      </c>
    </row>
    <row r="225" spans="1:3">
      <c r="A225" s="959"/>
      <c r="B225" s="96" t="s">
        <v>856</v>
      </c>
      <c r="C225" s="95" t="s">
        <v>821</v>
      </c>
    </row>
    <row r="226" spans="1:3" ht="24">
      <c r="A226" s="959"/>
      <c r="B226" s="96" t="s">
        <v>857</v>
      </c>
      <c r="C226" s="95" t="s">
        <v>820</v>
      </c>
    </row>
    <row r="227" spans="1:3" ht="12.6">
      <c r="A227" s="125"/>
      <c r="B227" s="126"/>
      <c r="C227" s="127"/>
    </row>
    <row r="228" spans="1:3" ht="12.6">
      <c r="A228" s="125"/>
      <c r="B228" s="127"/>
      <c r="C228" s="127"/>
    </row>
    <row r="229" spans="1:3" ht="12.6">
      <c r="A229" s="125"/>
      <c r="B229" s="127"/>
      <c r="C229" s="127"/>
    </row>
    <row r="230" spans="1:3" ht="12.6">
      <c r="A230" s="125"/>
      <c r="B230" s="128"/>
      <c r="C230" s="127"/>
    </row>
    <row r="231" spans="1:3">
      <c r="A231" s="951"/>
      <c r="B231" s="129"/>
      <c r="C231" s="127"/>
    </row>
    <row r="232" spans="1:3">
      <c r="A232" s="951"/>
      <c r="B232" s="129"/>
      <c r="C232" s="127"/>
    </row>
    <row r="233" spans="1:3">
      <c r="A233" s="951"/>
      <c r="B233" s="129"/>
      <c r="C233" s="127"/>
    </row>
    <row r="234" spans="1:3">
      <c r="A234" s="951"/>
      <c r="B234" s="129"/>
      <c r="C234" s="130"/>
    </row>
    <row r="235" spans="1:3" ht="40.5" customHeight="1">
      <c r="A235" s="951"/>
      <c r="B235" s="129"/>
      <c r="C235" s="127"/>
    </row>
    <row r="236" spans="1:3" ht="24" customHeight="1">
      <c r="A236" s="951"/>
      <c r="B236" s="129"/>
      <c r="C236" s="127"/>
    </row>
    <row r="237" spans="1:3">
      <c r="A237" s="951"/>
      <c r="B237" s="129"/>
      <c r="C237" s="127"/>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zoomScale="70" zoomScaleNormal="70" workbookViewId="0">
      <pane xSplit="2" ySplit="5" topLeftCell="C23" activePane="bottomRight" state="frozen"/>
      <selection activeCell="C24" sqref="C24"/>
      <selection pane="topRight" activeCell="C24" sqref="C24"/>
      <selection pane="bottomLeft" activeCell="C24" sqref="C24"/>
      <selection pane="bottomRight" activeCell="C48" sqref="C48"/>
    </sheetView>
  </sheetViews>
  <sheetFormatPr defaultRowHeight="13.8"/>
  <cols>
    <col min="1" max="1" width="14.21875" style="9" customWidth="1"/>
    <col min="2" max="2" width="66.6640625" style="9" customWidth="1"/>
    <col min="3" max="8" width="17.77734375" style="9" customWidth="1"/>
    <col min="9" max="9" width="8.88671875" style="339"/>
    <col min="10" max="10" width="14" style="339" customWidth="1"/>
    <col min="11" max="11" width="9.6640625" style="339" customWidth="1"/>
    <col min="12" max="12" width="14.5546875" style="339" bestFit="1" customWidth="1"/>
    <col min="13" max="16384" width="8.88671875" style="339"/>
  </cols>
  <sheetData>
    <row r="1" spans="1:8">
      <c r="A1" s="336" t="s">
        <v>869</v>
      </c>
      <c r="B1" s="338" t="str">
        <f>Info!C2</f>
        <v>კრისტალი</v>
      </c>
      <c r="C1" s="335"/>
    </row>
    <row r="2" spans="1:8">
      <c r="A2" s="336" t="s">
        <v>88</v>
      </c>
      <c r="B2" s="337">
        <f>'1. key ratios'!B2</f>
        <v>46112</v>
      </c>
      <c r="C2" s="335"/>
    </row>
    <row r="3" spans="1:8">
      <c r="A3" s="334"/>
      <c r="B3" s="335"/>
      <c r="C3" s="335"/>
    </row>
    <row r="4" spans="1:8">
      <c r="A4" s="789" t="s">
        <v>25</v>
      </c>
      <c r="B4" s="790" t="s">
        <v>134</v>
      </c>
      <c r="C4" s="788" t="s">
        <v>93</v>
      </c>
      <c r="D4" s="788"/>
      <c r="E4" s="788"/>
      <c r="F4" s="788" t="s">
        <v>94</v>
      </c>
      <c r="G4" s="788"/>
      <c r="H4" s="788"/>
    </row>
    <row r="5" spans="1:8" ht="15.45" customHeight="1">
      <c r="A5" s="789"/>
      <c r="B5" s="790"/>
      <c r="C5" s="355" t="s">
        <v>26</v>
      </c>
      <c r="D5" s="355" t="s">
        <v>70</v>
      </c>
      <c r="E5" s="355" t="s">
        <v>59</v>
      </c>
      <c r="F5" s="355" t="s">
        <v>26</v>
      </c>
      <c r="G5" s="355" t="s">
        <v>70</v>
      </c>
      <c r="H5" s="355" t="s">
        <v>59</v>
      </c>
    </row>
    <row r="6" spans="1:8">
      <c r="A6" s="353">
        <v>1</v>
      </c>
      <c r="B6" s="340" t="s">
        <v>698</v>
      </c>
      <c r="C6" s="712">
        <f>SUM(C7:C12)</f>
        <v>43442055.616099983</v>
      </c>
      <c r="D6" s="712">
        <f>SUM(D7:D12)</f>
        <v>65633.763899999991</v>
      </c>
      <c r="E6" s="356">
        <f>C6+D6</f>
        <v>43507689.37999998</v>
      </c>
      <c r="F6" s="352">
        <f>SUM(F7:F12)</f>
        <v>0</v>
      </c>
      <c r="G6" s="352">
        <f>SUM(G7:G12)</f>
        <v>0</v>
      </c>
      <c r="H6" s="356">
        <f>F6+G6</f>
        <v>0</v>
      </c>
    </row>
    <row r="7" spans="1:8">
      <c r="A7" s="353">
        <v>1.1000000000000001</v>
      </c>
      <c r="B7" s="343" t="s">
        <v>652</v>
      </c>
      <c r="C7" s="712">
        <v>0</v>
      </c>
      <c r="D7" s="712"/>
      <c r="E7" s="356">
        <f t="shared" ref="E7:E45" si="0">C7+D7</f>
        <v>0</v>
      </c>
      <c r="F7" s="352"/>
      <c r="G7" s="352"/>
      <c r="H7" s="356">
        <f t="shared" ref="H7:H44" si="1">F7+G7</f>
        <v>0</v>
      </c>
    </row>
    <row r="8" spans="1:8" ht="27.6">
      <c r="A8" s="353">
        <v>1.2</v>
      </c>
      <c r="B8" s="343" t="s">
        <v>699</v>
      </c>
      <c r="C8" s="712">
        <v>0</v>
      </c>
      <c r="D8" s="712"/>
      <c r="E8" s="356">
        <f t="shared" si="0"/>
        <v>0</v>
      </c>
      <c r="F8" s="352"/>
      <c r="G8" s="352"/>
      <c r="H8" s="356">
        <f t="shared" si="1"/>
        <v>0</v>
      </c>
    </row>
    <row r="9" spans="1:8" ht="21.45" customHeight="1">
      <c r="A9" s="353">
        <v>1.3</v>
      </c>
      <c r="B9" s="343" t="s">
        <v>700</v>
      </c>
      <c r="C9" s="712">
        <v>0</v>
      </c>
      <c r="D9" s="712"/>
      <c r="E9" s="356">
        <f t="shared" si="0"/>
        <v>0</v>
      </c>
      <c r="F9" s="352"/>
      <c r="G9" s="352"/>
      <c r="H9" s="356">
        <f t="shared" si="1"/>
        <v>0</v>
      </c>
    </row>
    <row r="10" spans="1:8" ht="27.6">
      <c r="A10" s="353">
        <v>1.4</v>
      </c>
      <c r="B10" s="343" t="s">
        <v>656</v>
      </c>
      <c r="C10" s="712">
        <v>0</v>
      </c>
      <c r="D10" s="712"/>
      <c r="E10" s="356">
        <f t="shared" si="0"/>
        <v>0</v>
      </c>
      <c r="F10" s="352"/>
      <c r="G10" s="352"/>
      <c r="H10" s="356">
        <f t="shared" si="1"/>
        <v>0</v>
      </c>
    </row>
    <row r="11" spans="1:8">
      <c r="A11" s="353">
        <v>1.5</v>
      </c>
      <c r="B11" s="343" t="s">
        <v>659</v>
      </c>
      <c r="C11" s="712">
        <v>43442055.616099983</v>
      </c>
      <c r="D11" s="712">
        <v>65633.763899999991</v>
      </c>
      <c r="E11" s="356">
        <f t="shared" si="0"/>
        <v>43507689.37999998</v>
      </c>
      <c r="F11" s="352"/>
      <c r="G11" s="352"/>
      <c r="H11" s="356">
        <f t="shared" si="1"/>
        <v>0</v>
      </c>
    </row>
    <row r="12" spans="1:8">
      <c r="A12" s="353">
        <v>1.6</v>
      </c>
      <c r="B12" s="343" t="s">
        <v>79</v>
      </c>
      <c r="C12" s="712">
        <v>0</v>
      </c>
      <c r="D12" s="712"/>
      <c r="E12" s="356">
        <f t="shared" si="0"/>
        <v>0</v>
      </c>
      <c r="F12" s="352"/>
      <c r="G12" s="352"/>
      <c r="H12" s="356">
        <f t="shared" si="1"/>
        <v>0</v>
      </c>
    </row>
    <row r="13" spans="1:8">
      <c r="A13" s="353">
        <v>2</v>
      </c>
      <c r="B13" s="340" t="s">
        <v>701</v>
      </c>
      <c r="C13" s="712">
        <f>SUM(C14:C17)</f>
        <v>-7415718.8324000072</v>
      </c>
      <c r="D13" s="712">
        <f>SUM(D14:D17)</f>
        <v>-5677105.9875999996</v>
      </c>
      <c r="E13" s="356">
        <f t="shared" si="0"/>
        <v>-13092824.820000008</v>
      </c>
      <c r="F13" s="352">
        <f>SUM(F14:F17)</f>
        <v>0</v>
      </c>
      <c r="G13" s="352">
        <f>SUM(G14:G17)</f>
        <v>0</v>
      </c>
      <c r="H13" s="356">
        <f t="shared" si="1"/>
        <v>0</v>
      </c>
    </row>
    <row r="14" spans="1:8">
      <c r="A14" s="353">
        <v>2.1</v>
      </c>
      <c r="B14" s="343" t="s">
        <v>702</v>
      </c>
      <c r="C14" s="712">
        <v>0</v>
      </c>
      <c r="D14" s="712"/>
      <c r="E14" s="356">
        <f t="shared" si="0"/>
        <v>0</v>
      </c>
      <c r="F14" s="352"/>
      <c r="G14" s="352"/>
      <c r="H14" s="356">
        <f t="shared" si="1"/>
        <v>0</v>
      </c>
    </row>
    <row r="15" spans="1:8" ht="24.45" customHeight="1">
      <c r="A15" s="353">
        <v>2.2000000000000002</v>
      </c>
      <c r="B15" s="343" t="s">
        <v>703</v>
      </c>
      <c r="C15" s="712">
        <v>0</v>
      </c>
      <c r="D15" s="712"/>
      <c r="E15" s="356">
        <f t="shared" si="0"/>
        <v>0</v>
      </c>
      <c r="F15" s="352"/>
      <c r="G15" s="352"/>
      <c r="H15" s="356">
        <f t="shared" si="1"/>
        <v>0</v>
      </c>
    </row>
    <row r="16" spans="1:8" ht="20.55" customHeight="1">
      <c r="A16" s="353">
        <v>2.2999999999999998</v>
      </c>
      <c r="B16" s="343" t="s">
        <v>704</v>
      </c>
      <c r="C16" s="712">
        <v>-7288399.7817000067</v>
      </c>
      <c r="D16" s="712">
        <v>-5410612.2083000001</v>
      </c>
      <c r="E16" s="356">
        <f t="shared" si="0"/>
        <v>-12699011.990000006</v>
      </c>
      <c r="F16" s="352"/>
      <c r="G16" s="352"/>
      <c r="H16" s="356">
        <f t="shared" si="1"/>
        <v>0</v>
      </c>
    </row>
    <row r="17" spans="1:8">
      <c r="A17" s="353">
        <v>2.4</v>
      </c>
      <c r="B17" s="343" t="s">
        <v>705</v>
      </c>
      <c r="C17" s="712">
        <v>-127319.05070000014</v>
      </c>
      <c r="D17" s="712">
        <v>-266493.77929999999</v>
      </c>
      <c r="E17" s="356">
        <f t="shared" si="0"/>
        <v>-393812.83000000013</v>
      </c>
      <c r="F17" s="352"/>
      <c r="G17" s="352"/>
      <c r="H17" s="356">
        <f t="shared" si="1"/>
        <v>0</v>
      </c>
    </row>
    <row r="18" spans="1:8">
      <c r="A18" s="353">
        <v>3</v>
      </c>
      <c r="B18" s="340" t="s">
        <v>706</v>
      </c>
      <c r="C18" s="712">
        <v>0</v>
      </c>
      <c r="D18" s="712"/>
      <c r="E18" s="356">
        <f t="shared" si="0"/>
        <v>0</v>
      </c>
      <c r="F18" s="352"/>
      <c r="G18" s="352"/>
      <c r="H18" s="356">
        <f t="shared" si="1"/>
        <v>0</v>
      </c>
    </row>
    <row r="19" spans="1:8">
      <c r="A19" s="353">
        <v>4</v>
      </c>
      <c r="B19" s="340" t="s">
        <v>707</v>
      </c>
      <c r="C19" s="712">
        <v>824947.16980000003</v>
      </c>
      <c r="D19" s="712">
        <v>58958.090200000006</v>
      </c>
      <c r="E19" s="356">
        <f t="shared" si="0"/>
        <v>883905.26</v>
      </c>
      <c r="F19" s="352"/>
      <c r="G19" s="352"/>
      <c r="H19" s="356">
        <f t="shared" si="1"/>
        <v>0</v>
      </c>
    </row>
    <row r="20" spans="1:8">
      <c r="A20" s="353">
        <v>5</v>
      </c>
      <c r="B20" s="340" t="s">
        <v>708</v>
      </c>
      <c r="C20" s="712">
        <v>9002.4260999999969</v>
      </c>
      <c r="D20" s="712">
        <v>1015.3638999999998</v>
      </c>
      <c r="E20" s="356">
        <f t="shared" si="0"/>
        <v>10017.789999999997</v>
      </c>
      <c r="F20" s="352"/>
      <c r="G20" s="352"/>
      <c r="H20" s="356">
        <f t="shared" si="1"/>
        <v>0</v>
      </c>
    </row>
    <row r="21" spans="1:8" ht="38.549999999999997" customHeight="1">
      <c r="A21" s="353">
        <v>6</v>
      </c>
      <c r="B21" s="340" t="s">
        <v>709</v>
      </c>
      <c r="C21" s="712">
        <v>0</v>
      </c>
      <c r="D21" s="712"/>
      <c r="E21" s="356">
        <f t="shared" si="0"/>
        <v>0</v>
      </c>
      <c r="F21" s="352"/>
      <c r="G21" s="352"/>
      <c r="H21" s="356">
        <f t="shared" si="1"/>
        <v>0</v>
      </c>
    </row>
    <row r="22" spans="1:8" ht="27.45" customHeight="1">
      <c r="A22" s="353">
        <v>7</v>
      </c>
      <c r="B22" s="340" t="s">
        <v>710</v>
      </c>
      <c r="C22" s="712">
        <v>0</v>
      </c>
      <c r="D22" s="712"/>
      <c r="E22" s="356">
        <f t="shared" si="0"/>
        <v>0</v>
      </c>
      <c r="F22" s="352"/>
      <c r="G22" s="352"/>
      <c r="H22" s="356">
        <f t="shared" si="1"/>
        <v>0</v>
      </c>
    </row>
    <row r="23" spans="1:8" ht="37.049999999999997" customHeight="1">
      <c r="A23" s="353">
        <v>8</v>
      </c>
      <c r="B23" s="344" t="s">
        <v>711</v>
      </c>
      <c r="C23" s="712">
        <v>0</v>
      </c>
      <c r="D23" s="712"/>
      <c r="E23" s="356">
        <f t="shared" si="0"/>
        <v>0</v>
      </c>
      <c r="F23" s="352"/>
      <c r="G23" s="352"/>
      <c r="H23" s="356">
        <f t="shared" si="1"/>
        <v>0</v>
      </c>
    </row>
    <row r="24" spans="1:8" ht="34.5" customHeight="1">
      <c r="A24" s="353">
        <v>9</v>
      </c>
      <c r="B24" s="344" t="s">
        <v>712</v>
      </c>
      <c r="C24" s="712">
        <v>-3706717.02</v>
      </c>
      <c r="D24" s="712">
        <v>0</v>
      </c>
      <c r="E24" s="356">
        <f t="shared" si="0"/>
        <v>-3706717.02</v>
      </c>
      <c r="F24" s="352"/>
      <c r="G24" s="352"/>
      <c r="H24" s="356">
        <f t="shared" si="1"/>
        <v>0</v>
      </c>
    </row>
    <row r="25" spans="1:8">
      <c r="A25" s="353">
        <v>10</v>
      </c>
      <c r="B25" s="340" t="s">
        <v>713</v>
      </c>
      <c r="C25" s="712">
        <v>638828.2699999992</v>
      </c>
      <c r="D25" s="712">
        <v>0</v>
      </c>
      <c r="E25" s="356">
        <f t="shared" si="0"/>
        <v>638828.2699999992</v>
      </c>
      <c r="F25" s="352"/>
      <c r="G25" s="352"/>
      <c r="H25" s="356">
        <f t="shared" si="1"/>
        <v>0</v>
      </c>
    </row>
    <row r="26" spans="1:8" ht="27" customHeight="1">
      <c r="A26" s="353">
        <v>11</v>
      </c>
      <c r="B26" s="345" t="s">
        <v>714</v>
      </c>
      <c r="C26" s="712">
        <v>-26332.560000000001</v>
      </c>
      <c r="D26" s="712">
        <v>0</v>
      </c>
      <c r="E26" s="356">
        <f t="shared" si="0"/>
        <v>-26332.560000000001</v>
      </c>
      <c r="F26" s="352"/>
      <c r="G26" s="352"/>
      <c r="H26" s="356">
        <f t="shared" si="1"/>
        <v>0</v>
      </c>
    </row>
    <row r="27" spans="1:8">
      <c r="A27" s="353">
        <v>12</v>
      </c>
      <c r="B27" s="340" t="s">
        <v>715</v>
      </c>
      <c r="C27" s="712">
        <v>8400975.5</v>
      </c>
      <c r="D27" s="712">
        <v>0</v>
      </c>
      <c r="E27" s="356">
        <f t="shared" si="0"/>
        <v>8400975.5</v>
      </c>
      <c r="F27" s="352"/>
      <c r="G27" s="352"/>
      <c r="H27" s="356">
        <f t="shared" si="1"/>
        <v>0</v>
      </c>
    </row>
    <row r="28" spans="1:8">
      <c r="A28" s="353">
        <v>13</v>
      </c>
      <c r="B28" s="340" t="s">
        <v>716</v>
      </c>
      <c r="C28" s="712">
        <v>-8546677.7100000009</v>
      </c>
      <c r="D28" s="712">
        <v>0</v>
      </c>
      <c r="E28" s="356">
        <f t="shared" si="0"/>
        <v>-8546677.7100000009</v>
      </c>
      <c r="F28" s="352"/>
      <c r="G28" s="352"/>
      <c r="H28" s="356">
        <f t="shared" si="1"/>
        <v>0</v>
      </c>
    </row>
    <row r="29" spans="1:8">
      <c r="A29" s="353">
        <v>14</v>
      </c>
      <c r="B29" s="340" t="s">
        <v>717</v>
      </c>
      <c r="C29" s="712">
        <f>SUM(C30:C31)</f>
        <v>-12748137.834700001</v>
      </c>
      <c r="D29" s="712">
        <f>SUM(D30:D31)</f>
        <v>-273686.02530000004</v>
      </c>
      <c r="E29" s="356">
        <f t="shared" si="0"/>
        <v>-13021823.860000001</v>
      </c>
      <c r="F29" s="352">
        <f>SUM(F30:F31)</f>
        <v>0</v>
      </c>
      <c r="G29" s="352">
        <f>SUM(G30:G31)</f>
        <v>0</v>
      </c>
      <c r="H29" s="356">
        <f t="shared" si="1"/>
        <v>0</v>
      </c>
    </row>
    <row r="30" spans="1:8">
      <c r="A30" s="353">
        <v>14.1</v>
      </c>
      <c r="B30" s="346" t="s">
        <v>718</v>
      </c>
      <c r="C30" s="712">
        <v>-9793301.2800000012</v>
      </c>
      <c r="D30" s="712">
        <v>0</v>
      </c>
      <c r="E30" s="356">
        <f t="shared" si="0"/>
        <v>-9793301.2800000012</v>
      </c>
      <c r="F30" s="352"/>
      <c r="G30" s="352"/>
      <c r="H30" s="356">
        <f t="shared" si="1"/>
        <v>0</v>
      </c>
    </row>
    <row r="31" spans="1:8">
      <c r="A31" s="353">
        <v>14.2</v>
      </c>
      <c r="B31" s="346" t="s">
        <v>719</v>
      </c>
      <c r="C31" s="712">
        <v>-2954836.5546999997</v>
      </c>
      <c r="D31" s="712">
        <v>-273686.02530000004</v>
      </c>
      <c r="E31" s="356">
        <f t="shared" si="0"/>
        <v>-3228522.5799999996</v>
      </c>
      <c r="F31" s="352"/>
      <c r="G31" s="352"/>
      <c r="H31" s="356">
        <f t="shared" si="1"/>
        <v>0</v>
      </c>
    </row>
    <row r="32" spans="1:8">
      <c r="A32" s="353">
        <v>15</v>
      </c>
      <c r="B32" s="347" t="s">
        <v>720</v>
      </c>
      <c r="C32" s="712">
        <v>-2168576.7200000002</v>
      </c>
      <c r="D32" s="712">
        <v>0</v>
      </c>
      <c r="E32" s="356">
        <f t="shared" si="0"/>
        <v>-2168576.7200000002</v>
      </c>
      <c r="F32" s="352"/>
      <c r="G32" s="352"/>
      <c r="H32" s="356">
        <f t="shared" si="1"/>
        <v>0</v>
      </c>
    </row>
    <row r="33" spans="1:8" ht="22.5" customHeight="1">
      <c r="A33" s="353">
        <v>16</v>
      </c>
      <c r="B33" s="348" t="s">
        <v>721</v>
      </c>
      <c r="C33" s="712">
        <v>0</v>
      </c>
      <c r="D33" s="712"/>
      <c r="E33" s="356">
        <f t="shared" si="0"/>
        <v>0</v>
      </c>
      <c r="F33" s="352"/>
      <c r="G33" s="352"/>
      <c r="H33" s="356">
        <f t="shared" si="1"/>
        <v>0</v>
      </c>
    </row>
    <row r="34" spans="1:8">
      <c r="A34" s="353">
        <v>17</v>
      </c>
      <c r="B34" s="340" t="s">
        <v>722</v>
      </c>
      <c r="C34" s="712">
        <f>SUM(C35:C36)</f>
        <v>0</v>
      </c>
      <c r="D34" s="712">
        <f>SUM(D35:D36)</f>
        <v>0</v>
      </c>
      <c r="E34" s="356">
        <f t="shared" si="0"/>
        <v>0</v>
      </c>
      <c r="F34" s="352">
        <f>SUM(F35:F36)</f>
        <v>0</v>
      </c>
      <c r="G34" s="352">
        <f>SUM(G35:G36)</f>
        <v>0</v>
      </c>
      <c r="H34" s="356">
        <f t="shared" si="1"/>
        <v>0</v>
      </c>
    </row>
    <row r="35" spans="1:8">
      <c r="A35" s="353">
        <v>17.100000000000001</v>
      </c>
      <c r="B35" s="346" t="s">
        <v>723</v>
      </c>
      <c r="C35" s="712">
        <v>0</v>
      </c>
      <c r="D35" s="712"/>
      <c r="E35" s="356">
        <f t="shared" si="0"/>
        <v>0</v>
      </c>
      <c r="F35" s="352"/>
      <c r="G35" s="352"/>
      <c r="H35" s="356">
        <f t="shared" si="1"/>
        <v>0</v>
      </c>
    </row>
    <row r="36" spans="1:8">
      <c r="A36" s="353">
        <v>17.2</v>
      </c>
      <c r="B36" s="346" t="s">
        <v>724</v>
      </c>
      <c r="C36" s="712">
        <v>0</v>
      </c>
      <c r="D36" s="712"/>
      <c r="E36" s="356">
        <f t="shared" si="0"/>
        <v>0</v>
      </c>
      <c r="F36" s="352"/>
      <c r="G36" s="352"/>
      <c r="H36" s="356">
        <f t="shared" si="1"/>
        <v>0</v>
      </c>
    </row>
    <row r="37" spans="1:8" ht="41.55" customHeight="1">
      <c r="A37" s="353">
        <v>18</v>
      </c>
      <c r="B37" s="349" t="s">
        <v>725</v>
      </c>
      <c r="C37" s="712">
        <f>SUM(C38:C39)</f>
        <v>-6244572.6600000029</v>
      </c>
      <c r="D37" s="712">
        <f>SUM(D38:D39)</f>
        <v>0</v>
      </c>
      <c r="E37" s="356">
        <f t="shared" si="0"/>
        <v>-6244572.6600000029</v>
      </c>
      <c r="F37" s="352">
        <f>SUM(F38:F39)</f>
        <v>0</v>
      </c>
      <c r="G37" s="352">
        <f>SUM(G38:G39)</f>
        <v>0</v>
      </c>
      <c r="H37" s="356">
        <f t="shared" si="1"/>
        <v>0</v>
      </c>
    </row>
    <row r="38" spans="1:8" ht="27.6">
      <c r="A38" s="353">
        <v>18.100000000000001</v>
      </c>
      <c r="B38" s="343" t="s">
        <v>726</v>
      </c>
      <c r="C38" s="712">
        <v>0</v>
      </c>
      <c r="D38" s="712"/>
      <c r="E38" s="356">
        <f t="shared" si="0"/>
        <v>0</v>
      </c>
      <c r="F38" s="352"/>
      <c r="G38" s="352"/>
      <c r="H38" s="356">
        <f t="shared" si="1"/>
        <v>0</v>
      </c>
    </row>
    <row r="39" spans="1:8">
      <c r="A39" s="353">
        <v>18.2</v>
      </c>
      <c r="B39" s="343" t="s">
        <v>727</v>
      </c>
      <c r="C39" s="712">
        <v>-6244572.6600000029</v>
      </c>
      <c r="D39" s="712">
        <v>0</v>
      </c>
      <c r="E39" s="356">
        <f t="shared" si="0"/>
        <v>-6244572.6600000029</v>
      </c>
      <c r="F39" s="352"/>
      <c r="G39" s="352"/>
      <c r="H39" s="356">
        <f t="shared" si="1"/>
        <v>0</v>
      </c>
    </row>
    <row r="40" spans="1:8" ht="24.45" customHeight="1">
      <c r="A40" s="353">
        <v>19</v>
      </c>
      <c r="B40" s="349" t="s">
        <v>728</v>
      </c>
      <c r="C40" s="712">
        <v>0</v>
      </c>
      <c r="D40" s="712"/>
      <c r="E40" s="356">
        <f t="shared" si="0"/>
        <v>0</v>
      </c>
      <c r="F40" s="352"/>
      <c r="G40" s="352"/>
      <c r="H40" s="356">
        <f t="shared" si="1"/>
        <v>0</v>
      </c>
    </row>
    <row r="41" spans="1:8" ht="25.05" customHeight="1">
      <c r="A41" s="353">
        <v>20</v>
      </c>
      <c r="B41" s="349" t="s">
        <v>729</v>
      </c>
      <c r="C41" s="712">
        <v>-522543.43000000005</v>
      </c>
      <c r="D41" s="712">
        <v>0</v>
      </c>
      <c r="E41" s="356">
        <f t="shared" si="0"/>
        <v>-522543.43000000005</v>
      </c>
      <c r="F41" s="352"/>
      <c r="G41" s="352"/>
      <c r="H41" s="356">
        <f t="shared" si="1"/>
        <v>0</v>
      </c>
    </row>
    <row r="42" spans="1:8" ht="33" customHeight="1">
      <c r="A42" s="353">
        <v>21</v>
      </c>
      <c r="B42" s="350" t="s">
        <v>730</v>
      </c>
      <c r="C42" s="712">
        <v>0</v>
      </c>
      <c r="D42" s="712"/>
      <c r="E42" s="356">
        <f t="shared" si="0"/>
        <v>0</v>
      </c>
      <c r="F42" s="352"/>
      <c r="G42" s="352"/>
      <c r="H42" s="356">
        <f t="shared" si="1"/>
        <v>0</v>
      </c>
    </row>
    <row r="43" spans="1:8">
      <c r="A43" s="353">
        <v>22</v>
      </c>
      <c r="B43" s="351" t="s">
        <v>731</v>
      </c>
      <c r="C43" s="712">
        <f>SUM(C6,C13,C18,C19,C20,C21,C22,C23,C24,C25,C26,C27,C28,C29,C32,C33,C34,C37,C40,C41,C42)</f>
        <v>11936532.214899965</v>
      </c>
      <c r="D43" s="712">
        <f>SUM(D6,D13,D18,D19,D20,D21,D22,D23,D24,D25,D26,D27,D28,D29,D32,D33,D34,D37,D40,D41,D42)</f>
        <v>-5825184.7948999992</v>
      </c>
      <c r="E43" s="356">
        <f t="shared" si="0"/>
        <v>6111347.4199999655</v>
      </c>
      <c r="F43" s="352">
        <f>SUM(F6,F13,F18,F19,F20,F21,F22,F23,F24,F25,F26,F27,F28,F29,F32,F33,F34,F37,F40,F41,F42)</f>
        <v>0</v>
      </c>
      <c r="G43" s="352">
        <f>SUM(G6,G13,G18,G19,G20,G21,G22,G23,G24,G25,G26,G27,G28,G29,G32,G33,G34,G37,G40,G41,G42)</f>
        <v>0</v>
      </c>
      <c r="H43" s="356">
        <f t="shared" si="1"/>
        <v>0</v>
      </c>
    </row>
    <row r="44" spans="1:8">
      <c r="A44" s="353">
        <v>23</v>
      </c>
      <c r="B44" s="351" t="s">
        <v>732</v>
      </c>
      <c r="C44" s="712">
        <v>-1222269.48</v>
      </c>
      <c r="D44" s="712">
        <v>0</v>
      </c>
      <c r="E44" s="356">
        <f t="shared" si="0"/>
        <v>-1222269.48</v>
      </c>
      <c r="F44" s="352"/>
      <c r="G44" s="352"/>
      <c r="H44" s="356">
        <f t="shared" si="1"/>
        <v>0</v>
      </c>
    </row>
    <row r="45" spans="1:8">
      <c r="A45" s="353">
        <v>24</v>
      </c>
      <c r="B45" s="351" t="s">
        <v>733</v>
      </c>
      <c r="C45" s="712">
        <f>C43+C44</f>
        <v>10714262.734899964</v>
      </c>
      <c r="D45" s="712">
        <f>D43+D44</f>
        <v>-5825184.7948999992</v>
      </c>
      <c r="E45" s="356">
        <f t="shared" si="0"/>
        <v>4889077.939999965</v>
      </c>
      <c r="F45" s="352">
        <f>F43+F44</f>
        <v>0</v>
      </c>
      <c r="G45" s="352">
        <f>G43+G44</f>
        <v>0</v>
      </c>
      <c r="H45" s="356">
        <f>F45+G45</f>
        <v>0</v>
      </c>
    </row>
    <row r="47" spans="1:8">
      <c r="E47" s="671"/>
    </row>
    <row r="48" spans="1:8">
      <c r="E48" s="671"/>
    </row>
    <row r="49" spans="5:5">
      <c r="E49" s="671"/>
    </row>
    <row r="50" spans="5:5">
      <c r="E50" s="671"/>
    </row>
    <row r="51" spans="5:5">
      <c r="E51" s="671"/>
    </row>
    <row r="52" spans="5:5">
      <c r="E52" s="671"/>
    </row>
    <row r="53" spans="5:5">
      <c r="E53" s="671"/>
    </row>
    <row r="54" spans="5:5">
      <c r="E54" s="671"/>
    </row>
    <row r="55" spans="5:5">
      <c r="E55" s="671"/>
    </row>
    <row r="56" spans="5:5">
      <c r="E56" s="671"/>
    </row>
    <row r="57" spans="5:5">
      <c r="E57" s="671"/>
    </row>
    <row r="58" spans="5:5">
      <c r="E58" s="671"/>
    </row>
    <row r="59" spans="5:5">
      <c r="E59" s="671"/>
    </row>
    <row r="60" spans="5:5">
      <c r="E60" s="671"/>
    </row>
    <row r="61" spans="5:5">
      <c r="E61" s="671"/>
    </row>
  </sheetData>
  <mergeCells count="4">
    <mergeCell ref="B4:B5"/>
    <mergeCell ref="C4:E4"/>
    <mergeCell ref="F4:H4"/>
    <mergeCell ref="A4:A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7"/>
  <sheetViews>
    <sheetView zoomScale="70" zoomScaleNormal="70" workbookViewId="0">
      <pane xSplit="2" ySplit="5" topLeftCell="C6" activePane="bottomRight" state="frozen"/>
      <selection activeCell="C24" sqref="C24"/>
      <selection pane="topRight" activeCell="C24" sqref="C24"/>
      <selection pane="bottomLeft" activeCell="C24" sqref="C24"/>
      <selection pane="bottomRight" activeCell="E6" sqref="E6:E43"/>
    </sheetView>
  </sheetViews>
  <sheetFormatPr defaultRowHeight="14.4"/>
  <cols>
    <col min="1" max="1" width="13.88671875" style="383" customWidth="1"/>
    <col min="2" max="2" width="87.6640625" style="384" bestFit="1" customWidth="1"/>
    <col min="3" max="8" width="13.88671875" style="332" customWidth="1"/>
    <col min="9" max="16384" width="8.88671875" style="318"/>
  </cols>
  <sheetData>
    <row r="1" spans="1:8">
      <c r="A1" s="336" t="s">
        <v>869</v>
      </c>
      <c r="B1" s="338" t="str">
        <f>Info!C2</f>
        <v>კრისტალი</v>
      </c>
      <c r="C1" s="335"/>
      <c r="D1" s="9"/>
      <c r="E1" s="9"/>
      <c r="F1" s="9"/>
      <c r="G1" s="9"/>
    </row>
    <row r="2" spans="1:8">
      <c r="A2" s="336" t="s">
        <v>88</v>
      </c>
      <c r="B2" s="337">
        <f>'1. key ratios'!B2</f>
        <v>46112</v>
      </c>
      <c r="C2" s="335"/>
      <c r="D2" s="9"/>
      <c r="E2" s="9"/>
      <c r="F2" s="9"/>
      <c r="G2" s="9"/>
    </row>
    <row r="3" spans="1:8">
      <c r="A3" s="334"/>
      <c r="B3" s="335"/>
      <c r="C3" s="335"/>
      <c r="D3" s="9"/>
      <c r="E3" s="9"/>
      <c r="F3" s="9"/>
      <c r="G3" s="9"/>
    </row>
    <row r="4" spans="1:8">
      <c r="A4" s="791" t="s">
        <v>25</v>
      </c>
      <c r="B4" s="792" t="s">
        <v>123</v>
      </c>
      <c r="C4" s="793" t="s">
        <v>93</v>
      </c>
      <c r="D4" s="793"/>
      <c r="E4" s="793"/>
      <c r="F4" s="793" t="s">
        <v>94</v>
      </c>
      <c r="G4" s="793"/>
      <c r="H4" s="794"/>
    </row>
    <row r="5" spans="1:8">
      <c r="A5" s="791"/>
      <c r="B5" s="792"/>
      <c r="C5" s="61" t="s">
        <v>26</v>
      </c>
      <c r="D5" s="61" t="s">
        <v>70</v>
      </c>
      <c r="E5" s="61" t="s">
        <v>59</v>
      </c>
      <c r="F5" s="61" t="s">
        <v>26</v>
      </c>
      <c r="G5" s="61" t="s">
        <v>70</v>
      </c>
      <c r="H5" s="62" t="s">
        <v>59</v>
      </c>
    </row>
    <row r="6" spans="1:8" s="339" customFormat="1" ht="13.8">
      <c r="A6" s="357">
        <v>1</v>
      </c>
      <c r="B6" s="374" t="s">
        <v>734</v>
      </c>
      <c r="C6" s="763">
        <v>0</v>
      </c>
      <c r="D6" s="763">
        <v>0</v>
      </c>
      <c r="E6" s="376">
        <f t="shared" ref="E6:E43" si="0">C6+D6</f>
        <v>0</v>
      </c>
      <c r="F6" s="375"/>
      <c r="G6" s="375"/>
      <c r="H6" s="377">
        <f t="shared" ref="H6:H43" si="1">F6+G6</f>
        <v>0</v>
      </c>
    </row>
    <row r="7" spans="1:8" s="339" customFormat="1" ht="27.6">
      <c r="A7" s="357">
        <v>2</v>
      </c>
      <c r="B7" s="374" t="s">
        <v>902</v>
      </c>
      <c r="C7" s="763">
        <v>0</v>
      </c>
      <c r="D7" s="763">
        <v>0</v>
      </c>
      <c r="E7" s="376">
        <f t="shared" si="0"/>
        <v>0</v>
      </c>
      <c r="F7" s="375"/>
      <c r="G7" s="375"/>
      <c r="H7" s="377">
        <f t="shared" si="1"/>
        <v>0</v>
      </c>
    </row>
    <row r="8" spans="1:8" s="339" customFormat="1" ht="13.8">
      <c r="A8" s="357">
        <v>3</v>
      </c>
      <c r="B8" s="374" t="s">
        <v>903</v>
      </c>
      <c r="C8" s="763">
        <f>C9+C10</f>
        <v>1042173344.3000001</v>
      </c>
      <c r="D8" s="763">
        <f>D9+D10</f>
        <v>5958922.8251999998</v>
      </c>
      <c r="E8" s="376">
        <f t="shared" si="0"/>
        <v>1048132267.1252</v>
      </c>
      <c r="F8" s="375">
        <f>F9+F10</f>
        <v>0</v>
      </c>
      <c r="G8" s="375">
        <f>G9+G10</f>
        <v>0</v>
      </c>
      <c r="H8" s="377">
        <f t="shared" si="1"/>
        <v>0</v>
      </c>
    </row>
    <row r="9" spans="1:8" s="339" customFormat="1" ht="13.8">
      <c r="A9" s="357">
        <v>3.1</v>
      </c>
      <c r="B9" s="378" t="s">
        <v>735</v>
      </c>
      <c r="C9" s="763">
        <v>1042173344.3000001</v>
      </c>
      <c r="D9" s="763">
        <v>5958922.8251999998</v>
      </c>
      <c r="E9" s="376">
        <f t="shared" si="0"/>
        <v>1048132267.1252</v>
      </c>
      <c r="F9" s="375"/>
      <c r="G9" s="375"/>
      <c r="H9" s="377">
        <f t="shared" si="1"/>
        <v>0</v>
      </c>
    </row>
    <row r="10" spans="1:8" s="339" customFormat="1" ht="13.8">
      <c r="A10" s="357">
        <v>3.2</v>
      </c>
      <c r="B10" s="378" t="s">
        <v>736</v>
      </c>
      <c r="C10" s="763">
        <v>0</v>
      </c>
      <c r="D10" s="763">
        <v>0</v>
      </c>
      <c r="E10" s="376">
        <f t="shared" si="0"/>
        <v>0</v>
      </c>
      <c r="F10" s="375"/>
      <c r="G10" s="375"/>
      <c r="H10" s="377">
        <f t="shared" si="1"/>
        <v>0</v>
      </c>
    </row>
    <row r="11" spans="1:8" s="339" customFormat="1" ht="27.6">
      <c r="A11" s="357">
        <v>4</v>
      </c>
      <c r="B11" s="374" t="s">
        <v>944</v>
      </c>
      <c r="C11" s="763">
        <f>C12+C13</f>
        <v>0</v>
      </c>
      <c r="D11" s="763">
        <f>D12+D13</f>
        <v>0</v>
      </c>
      <c r="E11" s="376">
        <f t="shared" si="0"/>
        <v>0</v>
      </c>
      <c r="F11" s="375">
        <f>F12+F13</f>
        <v>0</v>
      </c>
      <c r="G11" s="375">
        <f>G12+G13</f>
        <v>0</v>
      </c>
      <c r="H11" s="377">
        <f t="shared" si="1"/>
        <v>0</v>
      </c>
    </row>
    <row r="12" spans="1:8" s="339" customFormat="1" ht="13.8">
      <c r="A12" s="357">
        <v>4.0999999999999996</v>
      </c>
      <c r="B12" s="378" t="s">
        <v>904</v>
      </c>
      <c r="C12" s="763">
        <v>0</v>
      </c>
      <c r="D12" s="763">
        <v>0</v>
      </c>
      <c r="E12" s="376">
        <f t="shared" si="0"/>
        <v>0</v>
      </c>
      <c r="F12" s="375"/>
      <c r="G12" s="375"/>
      <c r="H12" s="377">
        <f t="shared" si="1"/>
        <v>0</v>
      </c>
    </row>
    <row r="13" spans="1:8" s="339" customFormat="1" ht="13.8">
      <c r="A13" s="357">
        <v>4.2</v>
      </c>
      <c r="B13" s="378" t="s">
        <v>905</v>
      </c>
      <c r="C13" s="763">
        <v>0</v>
      </c>
      <c r="D13" s="763">
        <v>0</v>
      </c>
      <c r="E13" s="376">
        <f t="shared" si="0"/>
        <v>0</v>
      </c>
      <c r="F13" s="375"/>
      <c r="G13" s="375"/>
      <c r="H13" s="377">
        <f t="shared" si="1"/>
        <v>0</v>
      </c>
    </row>
    <row r="14" spans="1:8" s="339" customFormat="1" ht="13.8">
      <c r="A14" s="357">
        <v>5</v>
      </c>
      <c r="B14" s="379" t="s">
        <v>737</v>
      </c>
      <c r="C14" s="763">
        <f>C15+C16+C17+C23+C24+C25+C26</f>
        <v>887598929.49999988</v>
      </c>
      <c r="D14" s="763">
        <f>D15+D16+D17+D23+D24+D25+D26</f>
        <v>47338763.502300017</v>
      </c>
      <c r="E14" s="376">
        <f t="shared" si="0"/>
        <v>934937693.0022999</v>
      </c>
      <c r="F14" s="375">
        <f>F15+F16+F17+F23+F24+F25+F26</f>
        <v>0</v>
      </c>
      <c r="G14" s="375">
        <f>G15+G16+G17+G23+G24+G25+G26</f>
        <v>0</v>
      </c>
      <c r="H14" s="377">
        <f t="shared" si="1"/>
        <v>0</v>
      </c>
    </row>
    <row r="15" spans="1:8" s="339" customFormat="1" ht="13.8">
      <c r="A15" s="357">
        <v>5.0999999999999996</v>
      </c>
      <c r="B15" s="380" t="s">
        <v>738</v>
      </c>
      <c r="C15" s="763">
        <v>0</v>
      </c>
      <c r="D15" s="763">
        <v>0</v>
      </c>
      <c r="E15" s="376">
        <f t="shared" si="0"/>
        <v>0</v>
      </c>
      <c r="F15" s="375"/>
      <c r="G15" s="375"/>
      <c r="H15" s="377">
        <f t="shared" si="1"/>
        <v>0</v>
      </c>
    </row>
    <row r="16" spans="1:8" s="339" customFormat="1" ht="13.8">
      <c r="A16" s="357">
        <v>5.2</v>
      </c>
      <c r="B16" s="380" t="s">
        <v>739</v>
      </c>
      <c r="C16" s="763">
        <v>24177964.170000002</v>
      </c>
      <c r="D16" s="763">
        <v>75384.70659999999</v>
      </c>
      <c r="E16" s="376">
        <f t="shared" si="0"/>
        <v>24253348.876600001</v>
      </c>
      <c r="F16" s="375"/>
      <c r="G16" s="375"/>
      <c r="H16" s="377">
        <f t="shared" si="1"/>
        <v>0</v>
      </c>
    </row>
    <row r="17" spans="1:8" s="339" customFormat="1" ht="13.8">
      <c r="A17" s="357">
        <v>5.3</v>
      </c>
      <c r="B17" s="380" t="s">
        <v>740</v>
      </c>
      <c r="C17" s="763">
        <f>C18+C19+C20+C21+C22</f>
        <v>696180672.0999999</v>
      </c>
      <c r="D17" s="763">
        <f>D18+D19+D20+D21+D22</f>
        <v>46602586.303900011</v>
      </c>
      <c r="E17" s="376">
        <f t="shared" si="0"/>
        <v>742783258.40389991</v>
      </c>
      <c r="F17" s="375"/>
      <c r="G17" s="375"/>
      <c r="H17" s="377">
        <f t="shared" si="1"/>
        <v>0</v>
      </c>
    </row>
    <row r="18" spans="1:8" s="339" customFormat="1" ht="13.8">
      <c r="A18" s="357" t="s">
        <v>145</v>
      </c>
      <c r="B18" s="381" t="s">
        <v>741</v>
      </c>
      <c r="C18" s="763">
        <v>696180672.0999999</v>
      </c>
      <c r="D18" s="763">
        <v>46602586.303900011</v>
      </c>
      <c r="E18" s="376">
        <f t="shared" si="0"/>
        <v>742783258.40389991</v>
      </c>
      <c r="F18" s="375"/>
      <c r="G18" s="375"/>
      <c r="H18" s="377">
        <f t="shared" si="1"/>
        <v>0</v>
      </c>
    </row>
    <row r="19" spans="1:8" s="339" customFormat="1" ht="13.8">
      <c r="A19" s="357" t="s">
        <v>146</v>
      </c>
      <c r="B19" s="381" t="s">
        <v>742</v>
      </c>
      <c r="C19" s="763">
        <v>0</v>
      </c>
      <c r="D19" s="763">
        <v>0</v>
      </c>
      <c r="E19" s="376">
        <f t="shared" si="0"/>
        <v>0</v>
      </c>
      <c r="F19" s="375"/>
      <c r="G19" s="375"/>
      <c r="H19" s="377">
        <f t="shared" si="1"/>
        <v>0</v>
      </c>
    </row>
    <row r="20" spans="1:8" s="339" customFormat="1" ht="13.8">
      <c r="A20" s="357" t="s">
        <v>147</v>
      </c>
      <c r="B20" s="381" t="s">
        <v>743</v>
      </c>
      <c r="C20" s="763">
        <v>0</v>
      </c>
      <c r="D20" s="763">
        <v>0</v>
      </c>
      <c r="E20" s="376">
        <f t="shared" si="0"/>
        <v>0</v>
      </c>
      <c r="F20" s="375"/>
      <c r="G20" s="375"/>
      <c r="H20" s="377">
        <f t="shared" si="1"/>
        <v>0</v>
      </c>
    </row>
    <row r="21" spans="1:8" s="339" customFormat="1" ht="13.8">
      <c r="A21" s="357" t="s">
        <v>148</v>
      </c>
      <c r="B21" s="381" t="s">
        <v>744</v>
      </c>
      <c r="C21" s="763">
        <v>0</v>
      </c>
      <c r="D21" s="763">
        <v>0</v>
      </c>
      <c r="E21" s="376">
        <f t="shared" si="0"/>
        <v>0</v>
      </c>
      <c r="F21" s="375"/>
      <c r="G21" s="375"/>
      <c r="H21" s="377">
        <f t="shared" si="1"/>
        <v>0</v>
      </c>
    </row>
    <row r="22" spans="1:8" s="339" customFormat="1" ht="13.8">
      <c r="A22" s="357" t="s">
        <v>149</v>
      </c>
      <c r="B22" s="381" t="s">
        <v>472</v>
      </c>
      <c r="C22" s="763">
        <v>0</v>
      </c>
      <c r="D22" s="763">
        <v>0</v>
      </c>
      <c r="E22" s="376">
        <f t="shared" si="0"/>
        <v>0</v>
      </c>
      <c r="F22" s="375"/>
      <c r="G22" s="375"/>
      <c r="H22" s="377">
        <f t="shared" si="1"/>
        <v>0</v>
      </c>
    </row>
    <row r="23" spans="1:8" s="339" customFormat="1" ht="13.8">
      <c r="A23" s="357">
        <v>5.4</v>
      </c>
      <c r="B23" s="380" t="s">
        <v>745</v>
      </c>
      <c r="C23" s="763">
        <v>166793234.03</v>
      </c>
      <c r="D23" s="763">
        <v>660792.49180000019</v>
      </c>
      <c r="E23" s="376">
        <f t="shared" si="0"/>
        <v>167454026.52180001</v>
      </c>
      <c r="F23" s="375"/>
      <c r="G23" s="375"/>
      <c r="H23" s="377">
        <f t="shared" si="1"/>
        <v>0</v>
      </c>
    </row>
    <row r="24" spans="1:8" s="339" customFormat="1" ht="13.8">
      <c r="A24" s="357">
        <v>5.5</v>
      </c>
      <c r="B24" s="380" t="s">
        <v>746</v>
      </c>
      <c r="C24" s="763"/>
      <c r="D24" s="763"/>
      <c r="E24" s="376">
        <f t="shared" si="0"/>
        <v>0</v>
      </c>
      <c r="F24" s="375"/>
      <c r="G24" s="375"/>
      <c r="H24" s="377">
        <f t="shared" si="1"/>
        <v>0</v>
      </c>
    </row>
    <row r="25" spans="1:8" s="339" customFormat="1" ht="13.8">
      <c r="A25" s="357">
        <v>5.6</v>
      </c>
      <c r="B25" s="380" t="s">
        <v>747</v>
      </c>
      <c r="C25" s="763"/>
      <c r="D25" s="763"/>
      <c r="E25" s="376">
        <f t="shared" si="0"/>
        <v>0</v>
      </c>
      <c r="F25" s="375"/>
      <c r="G25" s="375"/>
      <c r="H25" s="377">
        <f t="shared" si="1"/>
        <v>0</v>
      </c>
    </row>
    <row r="26" spans="1:8" s="339" customFormat="1" ht="13.8">
      <c r="A26" s="357">
        <v>5.7</v>
      </c>
      <c r="B26" s="380" t="s">
        <v>472</v>
      </c>
      <c r="C26" s="763">
        <v>447059.20000000001</v>
      </c>
      <c r="D26" s="763">
        <v>0</v>
      </c>
      <c r="E26" s="376">
        <f t="shared" si="0"/>
        <v>447059.20000000001</v>
      </c>
      <c r="F26" s="375"/>
      <c r="G26" s="375"/>
      <c r="H26" s="377">
        <f t="shared" si="1"/>
        <v>0</v>
      </c>
    </row>
    <row r="27" spans="1:8" s="339" customFormat="1" ht="13.8">
      <c r="A27" s="357">
        <v>6</v>
      </c>
      <c r="B27" s="379" t="s">
        <v>748</v>
      </c>
      <c r="C27" s="763">
        <v>2390101.7899999949</v>
      </c>
      <c r="D27" s="763">
        <v>42665.128300000011</v>
      </c>
      <c r="E27" s="376">
        <f t="shared" si="0"/>
        <v>2432766.9182999949</v>
      </c>
      <c r="F27" s="375"/>
      <c r="G27" s="375"/>
      <c r="H27" s="377">
        <f t="shared" si="1"/>
        <v>0</v>
      </c>
    </row>
    <row r="28" spans="1:8" s="339" customFormat="1" ht="13.8">
      <c r="A28" s="357">
        <v>7</v>
      </c>
      <c r="B28" s="379" t="s">
        <v>749</v>
      </c>
      <c r="C28" s="763">
        <v>0</v>
      </c>
      <c r="D28" s="763">
        <v>0</v>
      </c>
      <c r="E28" s="376">
        <f t="shared" si="0"/>
        <v>0</v>
      </c>
      <c r="F28" s="375"/>
      <c r="G28" s="375"/>
      <c r="H28" s="377">
        <f t="shared" si="1"/>
        <v>0</v>
      </c>
    </row>
    <row r="29" spans="1:8" s="339" customFormat="1" ht="13.8">
      <c r="A29" s="357">
        <v>8</v>
      </c>
      <c r="B29" s="379" t="s">
        <v>750</v>
      </c>
      <c r="C29" s="763">
        <v>0</v>
      </c>
      <c r="D29" s="763">
        <v>0</v>
      </c>
      <c r="E29" s="376">
        <f t="shared" si="0"/>
        <v>0</v>
      </c>
      <c r="F29" s="375"/>
      <c r="G29" s="375"/>
      <c r="H29" s="377">
        <f t="shared" si="1"/>
        <v>0</v>
      </c>
    </row>
    <row r="30" spans="1:8" s="339" customFormat="1" ht="13.8">
      <c r="A30" s="357">
        <v>9</v>
      </c>
      <c r="B30" s="374" t="s">
        <v>150</v>
      </c>
      <c r="C30" s="763">
        <f>C31+C32+C33+C34+C35+C36+C37</f>
        <v>-262150151.11000001</v>
      </c>
      <c r="D30" s="763">
        <f>D31+D32+D33+D34+D35+D36+D37</f>
        <v>242863513.76729998</v>
      </c>
      <c r="E30" s="376">
        <f t="shared" si="0"/>
        <v>-19286637.342700034</v>
      </c>
      <c r="F30" s="375">
        <f>F31+F32+F33+F34+F35+F36+F37</f>
        <v>0</v>
      </c>
      <c r="G30" s="375">
        <f>G31+G32+G33+G34+G35+G36+G37</f>
        <v>0</v>
      </c>
      <c r="H30" s="377">
        <f t="shared" si="1"/>
        <v>0</v>
      </c>
    </row>
    <row r="31" spans="1:8" s="339" customFormat="1" ht="27.6">
      <c r="A31" s="357">
        <v>9.1</v>
      </c>
      <c r="B31" s="378" t="s">
        <v>751</v>
      </c>
      <c r="C31" s="763">
        <v>12670826.74</v>
      </c>
      <c r="D31" s="763">
        <v>257567551.32699999</v>
      </c>
      <c r="E31" s="376">
        <f t="shared" si="0"/>
        <v>270238378.06699997</v>
      </c>
      <c r="F31" s="375"/>
      <c r="G31" s="375"/>
      <c r="H31" s="377">
        <f t="shared" si="1"/>
        <v>0</v>
      </c>
    </row>
    <row r="32" spans="1:8" s="339" customFormat="1" ht="27.6">
      <c r="A32" s="357">
        <v>9.1999999999999993</v>
      </c>
      <c r="B32" s="378" t="s">
        <v>752</v>
      </c>
      <c r="C32" s="763">
        <v>-274820977.85000002</v>
      </c>
      <c r="D32" s="763">
        <v>-14704037.559699999</v>
      </c>
      <c r="E32" s="376">
        <f t="shared" si="0"/>
        <v>-289525015.40970004</v>
      </c>
      <c r="F32" s="375"/>
      <c r="G32" s="375"/>
      <c r="H32" s="377">
        <f t="shared" si="1"/>
        <v>0</v>
      </c>
    </row>
    <row r="33" spans="1:8" s="339" customFormat="1" ht="27.6">
      <c r="A33" s="357">
        <v>9.3000000000000007</v>
      </c>
      <c r="B33" s="378" t="s">
        <v>753</v>
      </c>
      <c r="C33" s="763">
        <v>0</v>
      </c>
      <c r="D33" s="763">
        <v>0</v>
      </c>
      <c r="E33" s="376">
        <f t="shared" si="0"/>
        <v>0</v>
      </c>
      <c r="F33" s="375"/>
      <c r="G33" s="375"/>
      <c r="H33" s="377">
        <f t="shared" si="1"/>
        <v>0</v>
      </c>
    </row>
    <row r="34" spans="1:8" s="339" customFormat="1" ht="13.8">
      <c r="A34" s="357">
        <v>9.4</v>
      </c>
      <c r="B34" s="378" t="s">
        <v>754</v>
      </c>
      <c r="C34" s="763">
        <v>0</v>
      </c>
      <c r="D34" s="763">
        <v>0</v>
      </c>
      <c r="E34" s="376">
        <f t="shared" si="0"/>
        <v>0</v>
      </c>
      <c r="F34" s="375"/>
      <c r="G34" s="375"/>
      <c r="H34" s="377">
        <f t="shared" si="1"/>
        <v>0</v>
      </c>
    </row>
    <row r="35" spans="1:8" s="339" customFormat="1" ht="13.8">
      <c r="A35" s="357">
        <v>9.5</v>
      </c>
      <c r="B35" s="378" t="s">
        <v>755</v>
      </c>
      <c r="C35" s="763">
        <v>0</v>
      </c>
      <c r="D35" s="763">
        <v>0</v>
      </c>
      <c r="E35" s="376">
        <f t="shared" si="0"/>
        <v>0</v>
      </c>
      <c r="F35" s="375"/>
      <c r="G35" s="375"/>
      <c r="H35" s="377">
        <f t="shared" si="1"/>
        <v>0</v>
      </c>
    </row>
    <row r="36" spans="1:8" s="339" customFormat="1" ht="27.6">
      <c r="A36" s="357">
        <v>9.6</v>
      </c>
      <c r="B36" s="378" t="s">
        <v>756</v>
      </c>
      <c r="C36" s="763">
        <v>0</v>
      </c>
      <c r="D36" s="763">
        <v>0</v>
      </c>
      <c r="E36" s="376">
        <f t="shared" si="0"/>
        <v>0</v>
      </c>
      <c r="F36" s="375"/>
      <c r="G36" s="375"/>
      <c r="H36" s="377">
        <f t="shared" si="1"/>
        <v>0</v>
      </c>
    </row>
    <row r="37" spans="1:8" s="339" customFormat="1" ht="27.6">
      <c r="A37" s="357">
        <v>9.6999999999999993</v>
      </c>
      <c r="B37" s="378" t="s">
        <v>757</v>
      </c>
      <c r="C37" s="763">
        <v>0</v>
      </c>
      <c r="D37" s="763">
        <v>0</v>
      </c>
      <c r="E37" s="376">
        <f t="shared" si="0"/>
        <v>0</v>
      </c>
      <c r="F37" s="375"/>
      <c r="G37" s="375"/>
      <c r="H37" s="377">
        <f t="shared" si="1"/>
        <v>0</v>
      </c>
    </row>
    <row r="38" spans="1:8" s="339" customFormat="1" ht="13.8">
      <c r="A38" s="357">
        <v>10</v>
      </c>
      <c r="B38" s="379" t="s">
        <v>758</v>
      </c>
      <c r="C38" s="763">
        <f>C41+C42</f>
        <v>14497253.129999992</v>
      </c>
      <c r="D38" s="763">
        <f>D41+D42</f>
        <v>0</v>
      </c>
      <c r="E38" s="376">
        <f t="shared" si="0"/>
        <v>14497253.129999992</v>
      </c>
      <c r="F38" s="382">
        <f>F41+F42</f>
        <v>0</v>
      </c>
      <c r="G38" s="382">
        <f>G41+G42</f>
        <v>0</v>
      </c>
      <c r="H38" s="377">
        <f t="shared" si="1"/>
        <v>0</v>
      </c>
    </row>
    <row r="39" spans="1:8" s="339" customFormat="1" ht="13.8">
      <c r="A39" s="357">
        <v>10.1</v>
      </c>
      <c r="B39" s="378" t="s">
        <v>759</v>
      </c>
      <c r="C39" s="763">
        <v>2647140.4100000011</v>
      </c>
      <c r="D39" s="763">
        <v>0</v>
      </c>
      <c r="E39" s="376">
        <f t="shared" si="0"/>
        <v>2647140.4100000011</v>
      </c>
      <c r="F39" s="375"/>
      <c r="G39" s="375"/>
      <c r="H39" s="377">
        <f t="shared" si="1"/>
        <v>0</v>
      </c>
    </row>
    <row r="40" spans="1:8" s="339" customFormat="1" ht="27.6">
      <c r="A40" s="357">
        <v>10.199999999999999</v>
      </c>
      <c r="B40" s="378" t="s">
        <v>760</v>
      </c>
      <c r="C40" s="763">
        <v>1020582.9100000005</v>
      </c>
      <c r="D40" s="763">
        <v>0</v>
      </c>
      <c r="E40" s="376">
        <f t="shared" si="0"/>
        <v>1020582.9100000005</v>
      </c>
      <c r="F40" s="375"/>
      <c r="G40" s="375"/>
      <c r="H40" s="377">
        <f t="shared" si="1"/>
        <v>0</v>
      </c>
    </row>
    <row r="41" spans="1:8" s="339" customFormat="1" ht="27.6">
      <c r="A41" s="357">
        <v>10.3</v>
      </c>
      <c r="B41" s="378" t="s">
        <v>761</v>
      </c>
      <c r="C41" s="763">
        <v>10593544.669999992</v>
      </c>
      <c r="D41" s="763">
        <v>0</v>
      </c>
      <c r="E41" s="376">
        <f t="shared" si="0"/>
        <v>10593544.669999992</v>
      </c>
      <c r="F41" s="375"/>
      <c r="G41" s="375"/>
      <c r="H41" s="377">
        <f t="shared" si="1"/>
        <v>0</v>
      </c>
    </row>
    <row r="42" spans="1:8" s="339" customFormat="1" ht="27.6">
      <c r="A42" s="357">
        <v>10.4</v>
      </c>
      <c r="B42" s="378" t="s">
        <v>762</v>
      </c>
      <c r="C42" s="763">
        <v>3903708.4599999981</v>
      </c>
      <c r="D42" s="763">
        <v>0</v>
      </c>
      <c r="E42" s="376">
        <f t="shared" si="0"/>
        <v>3903708.4599999981</v>
      </c>
      <c r="F42" s="375"/>
      <c r="G42" s="375"/>
      <c r="H42" s="377">
        <f t="shared" si="1"/>
        <v>0</v>
      </c>
    </row>
    <row r="43" spans="1:8" s="339" customFormat="1" ht="13.8">
      <c r="A43" s="357">
        <v>11</v>
      </c>
      <c r="B43" s="379" t="s">
        <v>151</v>
      </c>
      <c r="C43" s="763">
        <v>0</v>
      </c>
      <c r="D43" s="763">
        <v>0</v>
      </c>
      <c r="E43" s="376">
        <f t="shared" si="0"/>
        <v>0</v>
      </c>
      <c r="F43" s="375"/>
      <c r="G43" s="375"/>
      <c r="H43" s="377">
        <f t="shared" si="1"/>
        <v>0</v>
      </c>
    </row>
    <row r="44" spans="1:8">
      <c r="C44" s="385"/>
      <c r="D44" s="385"/>
      <c r="E44" s="385"/>
      <c r="F44" s="385"/>
      <c r="G44" s="385"/>
      <c r="H44" s="385"/>
    </row>
    <row r="45" spans="1:8">
      <c r="C45" s="385"/>
      <c r="D45" s="385"/>
      <c r="E45" s="385"/>
      <c r="F45" s="385"/>
      <c r="G45" s="385"/>
      <c r="H45" s="385"/>
    </row>
    <row r="46" spans="1:8">
      <c r="C46" s="385"/>
      <c r="D46" s="385"/>
      <c r="E46" s="385"/>
      <c r="F46" s="385"/>
      <c r="G46" s="385"/>
      <c r="H46" s="385"/>
    </row>
    <row r="47" spans="1:8">
      <c r="C47" s="385"/>
      <c r="D47" s="385"/>
      <c r="E47" s="385"/>
      <c r="F47" s="385"/>
      <c r="G47" s="385"/>
      <c r="H47" s="385"/>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8"/>
  <sheetViews>
    <sheetView zoomScale="80" zoomScaleNormal="80" workbookViewId="0">
      <pane xSplit="1" ySplit="4" topLeftCell="B5" activePane="bottomRight" state="frozen"/>
      <selection activeCell="C24" sqref="C24"/>
      <selection pane="topRight" activeCell="C24" sqref="C24"/>
      <selection pane="bottomLeft" activeCell="C24" sqref="C24"/>
      <selection pane="bottomRight" activeCell="C6" sqref="C6:F13"/>
    </sheetView>
  </sheetViews>
  <sheetFormatPr defaultColWidth="9.21875" defaultRowHeight="13.8"/>
  <cols>
    <col min="1" max="1" width="12.77734375" style="9" customWidth="1"/>
    <col min="2" max="2" width="115.77734375" style="9" bestFit="1" customWidth="1"/>
    <col min="3" max="4" width="12.77734375" style="9" customWidth="1"/>
    <col min="5" max="5" width="13.6640625" style="394" customWidth="1"/>
    <col min="6" max="6" width="12.44140625" style="394" customWidth="1"/>
    <col min="7" max="7" width="9.77734375" style="394" customWidth="1"/>
    <col min="8" max="11" width="9.77734375" style="395" customWidth="1"/>
    <col min="12" max="16384" width="9.21875" style="395"/>
  </cols>
  <sheetData>
    <row r="1" spans="1:7">
      <c r="A1" s="336" t="s">
        <v>869</v>
      </c>
      <c r="B1" s="338" t="str">
        <f>Info!C2</f>
        <v>კრისტალი</v>
      </c>
      <c r="C1" s="335"/>
    </row>
    <row r="2" spans="1:7">
      <c r="A2" s="336" t="s">
        <v>88</v>
      </c>
      <c r="B2" s="337">
        <f>'1. key ratios'!B2</f>
        <v>46112</v>
      </c>
      <c r="C2" s="335"/>
    </row>
    <row r="3" spans="1:7">
      <c r="A3" s="334"/>
      <c r="B3" s="335"/>
      <c r="C3" s="335"/>
    </row>
    <row r="4" spans="1:7" ht="15" customHeight="1" thickBot="1">
      <c r="A4" s="488" t="s">
        <v>216</v>
      </c>
      <c r="B4" s="489" t="s">
        <v>87</v>
      </c>
      <c r="C4" s="490" t="s">
        <v>69</v>
      </c>
      <c r="D4" s="703"/>
    </row>
    <row r="5" spans="1:7" ht="15" customHeight="1">
      <c r="A5" s="482" t="s">
        <v>25</v>
      </c>
      <c r="B5" s="483"/>
      <c r="C5" s="491" t="str">
        <f>INT((MONTH($B$2))/3)&amp;"Q"&amp;"-"&amp;YEAR($B$2)</f>
        <v>1Q-2026</v>
      </c>
      <c r="D5" s="704" t="str">
        <f>IF(INT(MONTH($B$2))=3, "4"&amp;"Q"&amp;"-"&amp;YEAR($B$2)-1, IF(INT(MONTH($B$2))=6, "1"&amp;"Q"&amp;"-"&amp;YEAR($B$2), IF(INT(MONTH($B$2))=9, "2"&amp;"Q"&amp;"-"&amp;YEAR($B$2),IF(INT(MONTH($B$2))=12, "3"&amp;"Q"&amp;"-"&amp;YEAR($B$2), 0))))</f>
        <v>4Q-2025</v>
      </c>
      <c r="E5" s="491" t="str">
        <f>IF(INT(MONTH($B$2))=3, "3"&amp;"Q"&amp;"-"&amp;YEAR($B$2)-1, IF(INT(MONTH($B$2))=6, "4"&amp;"Q"&amp;"-"&amp;YEAR($B$2)-1, IF(INT(MONTH($B$2))=9, "1"&amp;"Q"&amp;"-"&amp;YEAR($B$2),IF(INT(MONTH($B$2))=12, "2"&amp;"Q"&amp;"-"&amp;YEAR($B$2), 0))))</f>
        <v>3Q-2025</v>
      </c>
      <c r="F5" s="491" t="str">
        <f>IF(INT(MONTH($B$2))=3, "2"&amp;"Q"&amp;"-"&amp;YEAR($B$2)-1, IF(INT(MONTH($B$2))=6, "3"&amp;"Q"&amp;"-"&amp;YEAR($B$2)-1, IF(INT(MONTH($B$2))=9, "4"&amp;"Q"&amp;"-"&amp;YEAR($B$2)-1,IF(INT(MONTH($B$2))=12, "1"&amp;"Q"&amp;"-"&amp;YEAR($B$2), 0))))</f>
        <v>2Q-2025</v>
      </c>
      <c r="G5" s="492" t="str">
        <f>IF(INT(MONTH($B$2))=3, "1"&amp;"Q"&amp;"-"&amp;YEAR($B$2)-1, IF(INT(MONTH($B$2))=6, "2"&amp;"Q"&amp;"-"&amp;YEAR($B$2)-1, IF(INT(MONTH($B$2))=9, "3"&amp;"Q"&amp;"-"&amp;YEAR($B$2)-1,IF(INT(MONTH($B$2))=12, "4"&amp;"Q"&amp;"-"&amp;YEAR($B$2)-1, 0))))</f>
        <v>1Q-2025</v>
      </c>
    </row>
    <row r="6" spans="1:7" ht="15" customHeight="1">
      <c r="A6" s="484">
        <v>1</v>
      </c>
      <c r="B6" s="485" t="s">
        <v>91</v>
      </c>
      <c r="C6" s="386">
        <f>C7+C9+C10</f>
        <v>500596029.31774253</v>
      </c>
      <c r="D6" s="386">
        <f>D7+D9+D10</f>
        <v>477841853.70038956</v>
      </c>
      <c r="E6" s="386">
        <f>E7+E9+E10</f>
        <v>468606209.03590357</v>
      </c>
      <c r="F6" s="386">
        <f>F7+F9+F10</f>
        <v>470563128.5438292</v>
      </c>
      <c r="G6" s="387">
        <f t="shared" ref="G6" si="0">G7+G9+G10</f>
        <v>0</v>
      </c>
    </row>
    <row r="7" spans="1:7" ht="15" customHeight="1">
      <c r="A7" s="484">
        <v>1.1000000000000001</v>
      </c>
      <c r="B7" s="493" t="s">
        <v>939</v>
      </c>
      <c r="C7" s="388">
        <v>496867995.47536576</v>
      </c>
      <c r="D7" s="705">
        <v>473124265.75658876</v>
      </c>
      <c r="E7" s="721">
        <v>460539016.09141302</v>
      </c>
      <c r="F7" s="388">
        <v>461008125.31766635</v>
      </c>
      <c r="G7" s="389"/>
    </row>
    <row r="8" spans="1:7" ht="27.6">
      <c r="A8" s="484" t="s">
        <v>129</v>
      </c>
      <c r="B8" s="493" t="s">
        <v>213</v>
      </c>
      <c r="C8" s="721">
        <v>413945.62</v>
      </c>
      <c r="D8" s="705">
        <v>899393.06</v>
      </c>
      <c r="E8" s="721">
        <v>1366379.85</v>
      </c>
      <c r="F8" s="388">
        <v>1366379.85</v>
      </c>
      <c r="G8" s="389"/>
    </row>
    <row r="9" spans="1:7" ht="15" customHeight="1">
      <c r="A9" s="484">
        <v>1.2</v>
      </c>
      <c r="B9" s="493" t="s">
        <v>21</v>
      </c>
      <c r="C9" s="388">
        <v>588133.35978999827</v>
      </c>
      <c r="D9" s="705">
        <v>610070.06168999977</v>
      </c>
      <c r="E9" s="721">
        <v>589012.95668999979</v>
      </c>
      <c r="F9" s="388">
        <v>581639.28435999993</v>
      </c>
      <c r="G9" s="389"/>
    </row>
    <row r="10" spans="1:7" ht="15" customHeight="1">
      <c r="A10" s="484">
        <v>1.3</v>
      </c>
      <c r="B10" s="494" t="s">
        <v>66</v>
      </c>
      <c r="C10" s="388">
        <v>3139900.4825867345</v>
      </c>
      <c r="D10" s="705">
        <v>4107517.8821108225</v>
      </c>
      <c r="E10" s="721">
        <v>7478179.9878005143</v>
      </c>
      <c r="F10" s="388">
        <v>8973363.9418028705</v>
      </c>
      <c r="G10" s="389"/>
    </row>
    <row r="11" spans="1:7" ht="15" customHeight="1">
      <c r="A11" s="484">
        <v>2</v>
      </c>
      <c r="B11" s="485" t="s">
        <v>92</v>
      </c>
      <c r="C11" s="388">
        <v>5019842.7704039067</v>
      </c>
      <c r="D11" s="705">
        <v>1346552.4854015093</v>
      </c>
      <c r="E11" s="721">
        <v>2753339.4471601588</v>
      </c>
      <c r="F11" s="388">
        <v>4930303.1623219214</v>
      </c>
      <c r="G11" s="389"/>
    </row>
    <row r="12" spans="1:7" ht="15" customHeight="1">
      <c r="A12" s="484">
        <v>3</v>
      </c>
      <c r="B12" s="485" t="s">
        <v>90</v>
      </c>
      <c r="C12" s="388">
        <v>179422907.11874998</v>
      </c>
      <c r="D12" s="705">
        <v>179422907.11874998</v>
      </c>
      <c r="E12" s="721">
        <v>151556553.58750001</v>
      </c>
      <c r="F12" s="388">
        <v>151556553.58750001</v>
      </c>
      <c r="G12" s="389"/>
    </row>
    <row r="13" spans="1:7" ht="15" customHeight="1" thickBot="1">
      <c r="A13" s="486">
        <v>4</v>
      </c>
      <c r="B13" s="487" t="s">
        <v>130</v>
      </c>
      <c r="C13" s="390">
        <f>C6+C11+C12</f>
        <v>685038779.20689642</v>
      </c>
      <c r="D13" s="390">
        <f>D6+D11+D12</f>
        <v>658611313.30454111</v>
      </c>
      <c r="E13" s="390">
        <f>E6+E11+E12</f>
        <v>622916102.07056379</v>
      </c>
      <c r="F13" s="390">
        <f>F6+F11+F12</f>
        <v>627049985.2936511</v>
      </c>
      <c r="G13" s="390">
        <f>G6+G11+G12</f>
        <v>0</v>
      </c>
    </row>
    <row r="14" spans="1:7">
      <c r="B14" s="255"/>
    </row>
    <row r="15" spans="1:7">
      <c r="B15" s="255"/>
    </row>
    <row r="16" spans="1:7">
      <c r="B16" s="255"/>
    </row>
    <row r="17" spans="2:2">
      <c r="B17" s="255"/>
    </row>
    <row r="18" spans="2:2">
      <c r="B18" s="25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2"/>
  <sheetViews>
    <sheetView showGridLines="0" zoomScale="80" zoomScaleNormal="70" workbookViewId="0">
      <pane xSplit="1" ySplit="4" topLeftCell="B5" activePane="bottomRight" state="frozen"/>
      <selection activeCell="C24" sqref="C24"/>
      <selection pane="topRight" activeCell="C24" sqref="C24"/>
      <selection pane="bottomLeft" activeCell="C24" sqref="C24"/>
      <selection pane="bottomRight" activeCell="B41" sqref="B41:C41"/>
    </sheetView>
  </sheetViews>
  <sheetFormatPr defaultRowHeight="13.8"/>
  <cols>
    <col min="1" max="1" width="12.77734375" style="9" customWidth="1"/>
    <col min="2" max="2" width="98.21875" style="9" bestFit="1" customWidth="1"/>
    <col min="3" max="3" width="34.21875" style="9" customWidth="1"/>
    <col min="4" max="16384" width="8.88671875" style="9"/>
  </cols>
  <sheetData>
    <row r="1" spans="1:8">
      <c r="A1" s="336" t="s">
        <v>869</v>
      </c>
      <c r="B1" s="338" t="str">
        <f>Info!C2</f>
        <v>კრისტალი</v>
      </c>
    </row>
    <row r="2" spans="1:8">
      <c r="A2" s="336" t="s">
        <v>88</v>
      </c>
      <c r="B2" s="337">
        <f>'1. key ratios'!B2</f>
        <v>46112</v>
      </c>
    </row>
    <row r="4" spans="1:8" ht="25.5" customHeight="1" thickBot="1">
      <c r="A4" s="559" t="s">
        <v>217</v>
      </c>
      <c r="B4" s="560" t="s">
        <v>907</v>
      </c>
      <c r="C4" s="561"/>
    </row>
    <row r="5" spans="1:8">
      <c r="A5" s="562"/>
      <c r="B5" s="563" t="s">
        <v>73</v>
      </c>
      <c r="C5" s="558" t="s">
        <v>382</v>
      </c>
    </row>
    <row r="6" spans="1:8">
      <c r="A6" s="3">
        <v>1</v>
      </c>
      <c r="B6" s="564" t="s">
        <v>947</v>
      </c>
      <c r="C6" s="565" t="s">
        <v>952</v>
      </c>
    </row>
    <row r="7" spans="1:8">
      <c r="A7" s="3">
        <v>2</v>
      </c>
      <c r="B7" s="564" t="s">
        <v>955</v>
      </c>
      <c r="C7" s="565" t="s">
        <v>1002</v>
      </c>
    </row>
    <row r="8" spans="1:8">
      <c r="A8" s="3">
        <v>3</v>
      </c>
      <c r="B8" s="564" t="s">
        <v>956</v>
      </c>
      <c r="C8" s="565" t="s">
        <v>1004</v>
      </c>
    </row>
    <row r="9" spans="1:8">
      <c r="A9" s="3">
        <v>4</v>
      </c>
      <c r="B9" s="564" t="s">
        <v>954</v>
      </c>
      <c r="C9" s="565" t="s">
        <v>953</v>
      </c>
    </row>
    <row r="10" spans="1:8">
      <c r="A10" s="3">
        <v>5</v>
      </c>
      <c r="B10" s="564"/>
      <c r="C10" s="565"/>
    </row>
    <row r="11" spans="1:8">
      <c r="A11" s="3">
        <v>6</v>
      </c>
      <c r="B11" s="564"/>
      <c r="C11" s="565"/>
    </row>
    <row r="12" spans="1:8">
      <c r="A12" s="3">
        <v>7</v>
      </c>
      <c r="B12" s="564"/>
      <c r="C12" s="565"/>
      <c r="H12" s="255"/>
    </row>
    <row r="13" spans="1:8">
      <c r="A13" s="3">
        <v>8</v>
      </c>
      <c r="B13" s="564"/>
      <c r="C13" s="565"/>
    </row>
    <row r="14" spans="1:8">
      <c r="A14" s="3">
        <v>9</v>
      </c>
      <c r="B14" s="564"/>
      <c r="C14" s="565"/>
    </row>
    <row r="15" spans="1:8">
      <c r="A15" s="3">
        <v>10</v>
      </c>
      <c r="B15" s="564"/>
      <c r="C15" s="565"/>
    </row>
    <row r="16" spans="1:8">
      <c r="A16" s="3"/>
      <c r="B16" s="795"/>
      <c r="C16" s="796"/>
    </row>
    <row r="17" spans="1:3" ht="55.2">
      <c r="A17" s="3"/>
      <c r="B17" s="34" t="s">
        <v>74</v>
      </c>
      <c r="C17" s="36" t="s">
        <v>906</v>
      </c>
    </row>
    <row r="18" spans="1:3">
      <c r="A18" s="3">
        <v>1</v>
      </c>
      <c r="B18" s="564" t="s">
        <v>948</v>
      </c>
      <c r="C18" s="750" t="s">
        <v>962</v>
      </c>
    </row>
    <row r="19" spans="1:3">
      <c r="A19" s="3">
        <v>2</v>
      </c>
      <c r="B19" s="564" t="s">
        <v>957</v>
      </c>
      <c r="C19" s="750" t="s">
        <v>963</v>
      </c>
    </row>
    <row r="20" spans="1:3">
      <c r="A20" s="3">
        <v>3</v>
      </c>
      <c r="B20" s="564" t="s">
        <v>958</v>
      </c>
      <c r="C20" s="750" t="s">
        <v>964</v>
      </c>
    </row>
    <row r="21" spans="1:3">
      <c r="A21" s="3">
        <v>4</v>
      </c>
      <c r="B21" s="564" t="s">
        <v>959</v>
      </c>
      <c r="C21" s="750" t="s">
        <v>965</v>
      </c>
    </row>
    <row r="22" spans="1:3">
      <c r="A22" s="3">
        <v>5</v>
      </c>
      <c r="B22" s="564" t="s">
        <v>960</v>
      </c>
      <c r="C22" s="750" t="s">
        <v>966</v>
      </c>
    </row>
    <row r="23" spans="1:3">
      <c r="A23" s="3">
        <v>6</v>
      </c>
      <c r="B23" s="564" t="s">
        <v>961</v>
      </c>
      <c r="C23" s="750" t="s">
        <v>967</v>
      </c>
    </row>
    <row r="24" spans="1:3">
      <c r="A24" s="3">
        <v>7</v>
      </c>
      <c r="B24" s="564"/>
      <c r="C24" s="750"/>
    </row>
    <row r="25" spans="1:3">
      <c r="A25" s="3">
        <v>8</v>
      </c>
      <c r="B25" s="564"/>
      <c r="C25" s="750"/>
    </row>
    <row r="26" spans="1:3">
      <c r="A26" s="3">
        <v>9</v>
      </c>
      <c r="B26" s="564"/>
      <c r="C26" s="750"/>
    </row>
    <row r="27" spans="1:3" ht="15.75" customHeight="1">
      <c r="A27" s="3">
        <v>10</v>
      </c>
      <c r="B27" s="564"/>
      <c r="C27" s="566"/>
    </row>
    <row r="28" spans="1:3" ht="15.75" customHeight="1">
      <c r="A28" s="3"/>
      <c r="B28" s="564"/>
      <c r="C28" s="567"/>
    </row>
    <row r="29" spans="1:3" ht="30" customHeight="1">
      <c r="A29" s="3"/>
      <c r="B29" s="797" t="s">
        <v>75</v>
      </c>
      <c r="C29" s="798"/>
    </row>
    <row r="30" spans="1:3">
      <c r="A30" s="3">
        <v>1</v>
      </c>
      <c r="B30" s="751" t="s">
        <v>968</v>
      </c>
      <c r="C30" s="752">
        <v>0.40029999999999999</v>
      </c>
    </row>
    <row r="31" spans="1:3">
      <c r="A31" s="3">
        <v>2</v>
      </c>
      <c r="B31" s="751" t="s">
        <v>969</v>
      </c>
      <c r="C31" s="752">
        <v>0.188</v>
      </c>
    </row>
    <row r="32" spans="1:3">
      <c r="A32" s="3">
        <v>3</v>
      </c>
      <c r="B32" s="751" t="s">
        <v>947</v>
      </c>
      <c r="C32" s="752">
        <v>0.11446094400007044</v>
      </c>
    </row>
    <row r="33" spans="1:3">
      <c r="A33" s="3">
        <v>4</v>
      </c>
      <c r="B33" s="751" t="s">
        <v>970</v>
      </c>
      <c r="C33" s="752">
        <v>9.3100000000000002E-2</v>
      </c>
    </row>
    <row r="34" spans="1:3">
      <c r="A34" s="3">
        <v>5</v>
      </c>
      <c r="B34" s="751" t="s">
        <v>957</v>
      </c>
      <c r="C34" s="752">
        <v>5.7299999999999997E-2</v>
      </c>
    </row>
    <row r="35" spans="1:3">
      <c r="A35" s="3">
        <v>6</v>
      </c>
      <c r="B35" s="751" t="s">
        <v>971</v>
      </c>
      <c r="C35" s="752">
        <v>3.0800000000000001E-2</v>
      </c>
    </row>
    <row r="36" spans="1:3">
      <c r="A36" s="3">
        <v>7</v>
      </c>
      <c r="B36" s="751" t="s">
        <v>972</v>
      </c>
      <c r="C36" s="752">
        <v>2.63E-2</v>
      </c>
    </row>
    <row r="37" spans="1:3">
      <c r="A37" s="3">
        <v>8</v>
      </c>
      <c r="B37" s="751" t="s">
        <v>974</v>
      </c>
      <c r="C37" s="752">
        <v>1.6500000000000001E-2</v>
      </c>
    </row>
    <row r="38" spans="1:3">
      <c r="A38" s="3">
        <v>9</v>
      </c>
      <c r="B38" s="751" t="s">
        <v>973</v>
      </c>
      <c r="C38" s="752">
        <v>1.2699999999999999E-2</v>
      </c>
    </row>
    <row r="39" spans="1:3">
      <c r="A39" s="3">
        <v>10</v>
      </c>
      <c r="B39" s="751"/>
      <c r="C39" s="752"/>
    </row>
    <row r="40" spans="1:3" ht="15.75" customHeight="1">
      <c r="A40" s="3"/>
      <c r="B40" s="569"/>
      <c r="C40" s="568"/>
    </row>
    <row r="41" spans="1:3" ht="28.8" customHeight="1">
      <c r="A41" s="3"/>
      <c r="B41" s="797" t="s">
        <v>142</v>
      </c>
      <c r="C41" s="798"/>
    </row>
    <row r="42" spans="1:3">
      <c r="A42" s="3">
        <v>1</v>
      </c>
      <c r="B42" s="676" t="s">
        <v>981</v>
      </c>
      <c r="C42" s="753">
        <v>0.11446094400007044</v>
      </c>
    </row>
    <row r="43" spans="1:3">
      <c r="A43" s="675">
        <v>2</v>
      </c>
      <c r="B43" s="677" t="s">
        <v>970</v>
      </c>
      <c r="C43" s="754">
        <v>9.3100000000000002E-2</v>
      </c>
    </row>
    <row r="44" spans="1:3">
      <c r="A44" s="3">
        <v>3</v>
      </c>
      <c r="B44" s="677" t="s">
        <v>957</v>
      </c>
      <c r="C44" s="754">
        <v>5.7299999999999997E-2</v>
      </c>
    </row>
    <row r="45" spans="1:3">
      <c r="A45" s="675">
        <v>4</v>
      </c>
      <c r="B45" s="677" t="s">
        <v>982</v>
      </c>
      <c r="C45" s="754">
        <v>0.40029999999999999</v>
      </c>
    </row>
    <row r="46" spans="1:3">
      <c r="A46" s="3">
        <v>5</v>
      </c>
      <c r="B46" s="677" t="s">
        <v>983</v>
      </c>
      <c r="C46" s="754">
        <v>0.188</v>
      </c>
    </row>
    <row r="47" spans="1:3">
      <c r="A47" s="675">
        <v>6</v>
      </c>
      <c r="B47" s="677" t="s">
        <v>984</v>
      </c>
      <c r="C47" s="754">
        <v>0.1759</v>
      </c>
    </row>
    <row r="48" spans="1:3">
      <c r="A48" s="3">
        <v>7</v>
      </c>
      <c r="B48" s="677" t="s">
        <v>985</v>
      </c>
      <c r="C48" s="754">
        <v>0.1759</v>
      </c>
    </row>
    <row r="49" spans="1:3">
      <c r="A49" s="675">
        <v>8</v>
      </c>
      <c r="B49" s="677" t="s">
        <v>986</v>
      </c>
      <c r="C49" s="574">
        <v>0.188</v>
      </c>
    </row>
    <row r="50" spans="1:3">
      <c r="A50" s="3">
        <v>9</v>
      </c>
      <c r="B50" s="677" t="s">
        <v>987</v>
      </c>
      <c r="C50" s="574">
        <v>0.14899999999999999</v>
      </c>
    </row>
    <row r="51" spans="1:3">
      <c r="A51" s="675">
        <v>10</v>
      </c>
      <c r="B51" s="677" t="s">
        <v>988</v>
      </c>
      <c r="C51" s="574">
        <v>5.2299999999999999E-2</v>
      </c>
    </row>
    <row r="52" spans="1:3">
      <c r="A52" s="3">
        <v>11</v>
      </c>
      <c r="B52" s="677" t="s">
        <v>989</v>
      </c>
      <c r="C52" s="574">
        <v>6.54E-2</v>
      </c>
    </row>
    <row r="53" spans="1:3">
      <c r="A53" s="675">
        <v>12</v>
      </c>
      <c r="B53" s="677" t="s">
        <v>990</v>
      </c>
      <c r="C53" s="574">
        <v>6.2700000000000006E-2</v>
      </c>
    </row>
    <row r="54" spans="1:3">
      <c r="A54" s="3">
        <v>13</v>
      </c>
      <c r="B54" s="677" t="s">
        <v>991</v>
      </c>
      <c r="C54" s="574">
        <v>5.3400000000000003E-2</v>
      </c>
    </row>
    <row r="55" spans="1:3">
      <c r="A55" s="675">
        <v>14</v>
      </c>
      <c r="B55" s="677" t="s">
        <v>992</v>
      </c>
      <c r="C55" s="574">
        <v>6.54E-2</v>
      </c>
    </row>
    <row r="56" spans="1:3">
      <c r="A56" s="3">
        <v>15</v>
      </c>
      <c r="B56" s="677" t="s">
        <v>993</v>
      </c>
      <c r="C56" s="574">
        <v>6.54E-2</v>
      </c>
    </row>
    <row r="57" spans="1:3">
      <c r="A57" s="675">
        <v>16</v>
      </c>
      <c r="B57" s="677" t="s">
        <v>994</v>
      </c>
      <c r="C57" s="574">
        <v>6.54E-2</v>
      </c>
    </row>
    <row r="58" spans="1:3">
      <c r="A58" s="3">
        <v>17</v>
      </c>
      <c r="B58" s="677" t="s">
        <v>995</v>
      </c>
      <c r="C58" s="574">
        <v>6.54E-2</v>
      </c>
    </row>
    <row r="59" spans="1:3">
      <c r="A59" s="675">
        <v>18</v>
      </c>
      <c r="B59" s="676" t="s">
        <v>996</v>
      </c>
      <c r="C59" s="573">
        <v>6.54E-2</v>
      </c>
    </row>
    <row r="60" spans="1:3">
      <c r="A60" s="3">
        <v>19</v>
      </c>
      <c r="B60" s="677" t="s">
        <v>997</v>
      </c>
      <c r="C60" s="574">
        <v>9.4E-2</v>
      </c>
    </row>
    <row r="61" spans="1:3">
      <c r="A61" s="675">
        <v>20</v>
      </c>
      <c r="B61" s="569"/>
      <c r="C61" s="574"/>
    </row>
    <row r="62" spans="1:3" ht="14.4" thickBot="1">
      <c r="A62" s="570"/>
      <c r="B62" s="571"/>
      <c r="C62" s="572"/>
    </row>
  </sheetData>
  <mergeCells count="3">
    <mergeCell ref="B16:C16"/>
    <mergeCell ref="B41:C41"/>
    <mergeCell ref="B29:C29"/>
  </mergeCells>
  <dataValidations disablePrompts="1"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8"/>
  <sheetViews>
    <sheetView zoomScale="70" zoomScaleNormal="70" workbookViewId="0">
      <pane xSplit="2" ySplit="7" topLeftCell="C8" activePane="bottomRight" state="frozen"/>
      <selection activeCell="C24" sqref="C24"/>
      <selection pane="topRight" activeCell="C24" sqref="C24"/>
      <selection pane="bottomLeft" activeCell="C24" sqref="C24"/>
      <selection pane="bottomRight" activeCell="C8" sqref="C8:E36"/>
    </sheetView>
  </sheetViews>
  <sheetFormatPr defaultRowHeight="13.8"/>
  <cols>
    <col min="1" max="1" width="13.88671875" style="9" customWidth="1"/>
    <col min="2" max="2" width="47.5546875" style="9" customWidth="1"/>
    <col min="3" max="3" width="28" style="9" customWidth="1"/>
    <col min="4" max="4" width="25.6640625" style="9" customWidth="1"/>
    <col min="5" max="5" width="18.77734375" style="9" customWidth="1"/>
    <col min="6" max="6" width="12" style="339" bestFit="1" customWidth="1"/>
    <col min="7" max="16384" width="8.88671875" style="339"/>
  </cols>
  <sheetData>
    <row r="1" spans="1:5">
      <c r="A1" s="336" t="s">
        <v>869</v>
      </c>
      <c r="B1" s="338" t="str">
        <f>Info!C2</f>
        <v>კრისტალი</v>
      </c>
    </row>
    <row r="2" spans="1:5" s="334" customFormat="1" ht="15.75" customHeight="1">
      <c r="A2" s="336" t="s">
        <v>88</v>
      </c>
      <c r="B2" s="337">
        <f>'1. key ratios'!B2</f>
        <v>46112</v>
      </c>
    </row>
    <row r="3" spans="1:5" s="334" customFormat="1" ht="15.75" customHeight="1"/>
    <row r="4" spans="1:5" s="334" customFormat="1" ht="15.75" customHeight="1" thickBot="1">
      <c r="A4" s="583" t="s">
        <v>218</v>
      </c>
      <c r="B4" s="182" t="s">
        <v>136</v>
      </c>
      <c r="C4" s="584"/>
      <c r="D4" s="584"/>
      <c r="E4" s="585" t="s">
        <v>69</v>
      </c>
    </row>
    <row r="5" spans="1:5" s="13" customFormat="1" ht="17.55" customHeight="1">
      <c r="A5" s="183"/>
      <c r="B5" s="184"/>
      <c r="C5" s="185" t="s">
        <v>0</v>
      </c>
      <c r="D5" s="185" t="s">
        <v>1</v>
      </c>
      <c r="E5" s="186" t="s">
        <v>2</v>
      </c>
    </row>
    <row r="6" spans="1:5" ht="14.55" customHeight="1">
      <c r="A6" s="586"/>
      <c r="B6" s="799" t="s">
        <v>116</v>
      </c>
      <c r="C6" s="799" t="s">
        <v>767</v>
      </c>
      <c r="D6" s="800" t="s">
        <v>115</v>
      </c>
      <c r="E6" s="801"/>
    </row>
    <row r="7" spans="1:5" ht="99.6" customHeight="1">
      <c r="A7" s="586"/>
      <c r="B7" s="799"/>
      <c r="C7" s="799"/>
      <c r="D7" s="187" t="s">
        <v>114</v>
      </c>
      <c r="E7" s="188" t="s">
        <v>309</v>
      </c>
    </row>
    <row r="8" spans="1:5" ht="22.5" customHeight="1">
      <c r="A8" s="587">
        <v>1</v>
      </c>
      <c r="B8" s="588" t="s">
        <v>763</v>
      </c>
      <c r="C8" s="589">
        <f>SUM(C9:C11)</f>
        <v>53958782.001199998</v>
      </c>
      <c r="D8" s="589">
        <f t="shared" ref="D8:E8" si="0">SUM(D9:D11)</f>
        <v>0</v>
      </c>
      <c r="E8" s="590">
        <f t="shared" si="0"/>
        <v>53958782.001199998</v>
      </c>
    </row>
    <row r="9" spans="1:5">
      <c r="A9" s="587">
        <v>1.1000000000000001</v>
      </c>
      <c r="B9" s="591" t="s">
        <v>77</v>
      </c>
      <c r="C9" s="589">
        <v>22043931.521100003</v>
      </c>
      <c r="D9" s="589"/>
      <c r="E9" s="590">
        <f>C9-D9</f>
        <v>22043931.521100003</v>
      </c>
    </row>
    <row r="10" spans="1:5">
      <c r="A10" s="587">
        <v>1.2</v>
      </c>
      <c r="B10" s="591" t="s">
        <v>78</v>
      </c>
      <c r="C10" s="589">
        <v>27005099.023800001</v>
      </c>
      <c r="D10" s="589"/>
      <c r="E10" s="590">
        <f t="shared" ref="E10:E15" si="1">C10-D10</f>
        <v>27005099.023800001</v>
      </c>
    </row>
    <row r="11" spans="1:5">
      <c r="A11" s="587">
        <v>1.3</v>
      </c>
      <c r="B11" s="591" t="s">
        <v>901</v>
      </c>
      <c r="C11" s="589">
        <v>4909751.4562999997</v>
      </c>
      <c r="D11" s="589"/>
      <c r="E11" s="590">
        <f t="shared" si="1"/>
        <v>4909751.4562999997</v>
      </c>
    </row>
    <row r="12" spans="1:5">
      <c r="A12" s="587">
        <v>2</v>
      </c>
      <c r="B12" s="592" t="s">
        <v>652</v>
      </c>
      <c r="C12" s="589">
        <v>0</v>
      </c>
      <c r="D12" s="589"/>
      <c r="E12" s="590">
        <f t="shared" si="1"/>
        <v>0</v>
      </c>
    </row>
    <row r="13" spans="1:5" ht="27.6">
      <c r="A13" s="587">
        <v>2.1</v>
      </c>
      <c r="B13" s="593" t="s">
        <v>653</v>
      </c>
      <c r="C13" s="589">
        <v>0</v>
      </c>
      <c r="D13" s="589"/>
      <c r="E13" s="590">
        <f t="shared" si="1"/>
        <v>0</v>
      </c>
    </row>
    <row r="14" spans="1:5" ht="34.049999999999997" customHeight="1">
      <c r="A14" s="587">
        <v>3</v>
      </c>
      <c r="B14" s="594" t="s">
        <v>654</v>
      </c>
      <c r="C14" s="589">
        <v>0</v>
      </c>
      <c r="D14" s="589"/>
      <c r="E14" s="590">
        <f t="shared" si="1"/>
        <v>0</v>
      </c>
    </row>
    <row r="15" spans="1:5" ht="32.549999999999997" customHeight="1">
      <c r="A15" s="587">
        <v>4</v>
      </c>
      <c r="B15" s="595" t="s">
        <v>655</v>
      </c>
      <c r="C15" s="589">
        <v>0</v>
      </c>
      <c r="D15" s="589"/>
      <c r="E15" s="590">
        <f t="shared" si="1"/>
        <v>0</v>
      </c>
    </row>
    <row r="16" spans="1:5" ht="22.95" customHeight="1">
      <c r="A16" s="587">
        <v>5</v>
      </c>
      <c r="B16" s="595" t="s">
        <v>656</v>
      </c>
      <c r="C16" s="589">
        <v>0</v>
      </c>
      <c r="D16" s="589">
        <f t="shared" ref="D16:E16" si="2">SUM(D17:D19)</f>
        <v>0</v>
      </c>
      <c r="E16" s="590">
        <f t="shared" si="2"/>
        <v>0</v>
      </c>
    </row>
    <row r="17" spans="1:5">
      <c r="A17" s="587">
        <v>5.0999999999999996</v>
      </c>
      <c r="B17" s="596" t="s">
        <v>657</v>
      </c>
      <c r="C17" s="589">
        <v>0</v>
      </c>
      <c r="D17" s="589"/>
      <c r="E17" s="590">
        <f t="shared" ref="E17:E19" si="3">C17-D17</f>
        <v>0</v>
      </c>
    </row>
    <row r="18" spans="1:5">
      <c r="A18" s="587">
        <v>5.2</v>
      </c>
      <c r="B18" s="596" t="s">
        <v>500</v>
      </c>
      <c r="C18" s="589">
        <v>0</v>
      </c>
      <c r="D18" s="589"/>
      <c r="E18" s="590">
        <f t="shared" si="3"/>
        <v>0</v>
      </c>
    </row>
    <row r="19" spans="1:5">
      <c r="A19" s="587">
        <v>5.3</v>
      </c>
      <c r="B19" s="596" t="s">
        <v>658</v>
      </c>
      <c r="C19" s="589">
        <v>0</v>
      </c>
      <c r="D19" s="589"/>
      <c r="E19" s="590">
        <f t="shared" si="3"/>
        <v>0</v>
      </c>
    </row>
    <row r="20" spans="1:5" ht="27.6">
      <c r="A20" s="587">
        <v>6</v>
      </c>
      <c r="B20" s="594" t="s">
        <v>659</v>
      </c>
      <c r="C20" s="589">
        <f>SUM(C21:C22)</f>
        <v>576770629.00302505</v>
      </c>
      <c r="D20" s="589">
        <f t="shared" ref="D20:E20" si="4">SUM(D21:D22)</f>
        <v>0</v>
      </c>
      <c r="E20" s="590">
        <f t="shared" si="4"/>
        <v>576770629.00302505</v>
      </c>
    </row>
    <row r="21" spans="1:5">
      <c r="A21" s="587">
        <v>6.1</v>
      </c>
      <c r="B21" s="596" t="s">
        <v>500</v>
      </c>
      <c r="C21" s="589">
        <v>0</v>
      </c>
      <c r="D21" s="597"/>
      <c r="E21" s="590">
        <f t="shared" ref="E21:E24" si="5">C21-D21</f>
        <v>0</v>
      </c>
    </row>
    <row r="22" spans="1:5">
      <c r="A22" s="587">
        <v>6.2</v>
      </c>
      <c r="B22" s="596" t="s">
        <v>658</v>
      </c>
      <c r="C22" s="589">
        <v>576770629.00302505</v>
      </c>
      <c r="D22" s="597"/>
      <c r="E22" s="590">
        <f t="shared" si="5"/>
        <v>576770629.00302505</v>
      </c>
    </row>
    <row r="23" spans="1:5" ht="27.6">
      <c r="A23" s="587">
        <v>7</v>
      </c>
      <c r="B23" s="598" t="s">
        <v>660</v>
      </c>
      <c r="C23" s="589">
        <v>549791</v>
      </c>
      <c r="D23" s="597">
        <f>C23</f>
        <v>549791</v>
      </c>
      <c r="E23" s="590">
        <f t="shared" si="5"/>
        <v>0</v>
      </c>
    </row>
    <row r="24" spans="1:5" ht="27.6">
      <c r="A24" s="587">
        <v>8</v>
      </c>
      <c r="B24" s="598" t="s">
        <v>661</v>
      </c>
      <c r="C24" s="589">
        <v>0</v>
      </c>
      <c r="D24" s="597"/>
      <c r="E24" s="590">
        <f t="shared" si="5"/>
        <v>0</v>
      </c>
    </row>
    <row r="25" spans="1:5">
      <c r="A25" s="587">
        <v>9</v>
      </c>
      <c r="B25" s="595" t="s">
        <v>662</v>
      </c>
      <c r="C25" s="597">
        <v>25004401.72000001</v>
      </c>
      <c r="D25" s="597">
        <f t="shared" ref="D25:E25" si="6">SUM(D26:D27)</f>
        <v>0</v>
      </c>
      <c r="E25" s="599">
        <f t="shared" si="6"/>
        <v>25004401.72000001</v>
      </c>
    </row>
    <row r="26" spans="1:5">
      <c r="A26" s="587">
        <v>9.1</v>
      </c>
      <c r="B26" s="600" t="s">
        <v>663</v>
      </c>
      <c r="C26" s="589">
        <v>25004401.72000001</v>
      </c>
      <c r="D26" s="597"/>
      <c r="E26" s="590">
        <f t="shared" ref="E26:E27" si="7">C26-D26</f>
        <v>25004401.72000001</v>
      </c>
    </row>
    <row r="27" spans="1:5">
      <c r="A27" s="587">
        <v>9.1999999999999993</v>
      </c>
      <c r="B27" s="600" t="s">
        <v>664</v>
      </c>
      <c r="C27" s="589">
        <v>0</v>
      </c>
      <c r="D27" s="597"/>
      <c r="E27" s="590">
        <f t="shared" si="7"/>
        <v>0</v>
      </c>
    </row>
    <row r="28" spans="1:5">
      <c r="A28" s="587">
        <v>10</v>
      </c>
      <c r="B28" s="595" t="s">
        <v>36</v>
      </c>
      <c r="C28" s="597">
        <v>8430538.2199999988</v>
      </c>
      <c r="D28" s="597">
        <f t="shared" ref="D28:E28" si="8">SUM(D29:D30)</f>
        <v>8430538.2199999988</v>
      </c>
      <c r="E28" s="599">
        <f t="shared" si="8"/>
        <v>0</v>
      </c>
    </row>
    <row r="29" spans="1:5">
      <c r="A29" s="587">
        <v>10.1</v>
      </c>
      <c r="B29" s="600" t="s">
        <v>665</v>
      </c>
      <c r="C29" s="589">
        <v>0</v>
      </c>
      <c r="D29" s="597"/>
      <c r="E29" s="590">
        <f t="shared" ref="E29:E30" si="9">C29-D29</f>
        <v>0</v>
      </c>
    </row>
    <row r="30" spans="1:5">
      <c r="A30" s="587">
        <v>10.199999999999999</v>
      </c>
      <c r="B30" s="600" t="s">
        <v>666</v>
      </c>
      <c r="C30" s="589">
        <v>8430538.2199999988</v>
      </c>
      <c r="D30" s="597">
        <f>C30</f>
        <v>8430538.2199999988</v>
      </c>
      <c r="E30" s="590">
        <f t="shared" si="9"/>
        <v>0</v>
      </c>
    </row>
    <row r="31" spans="1:5">
      <c r="A31" s="587">
        <v>11</v>
      </c>
      <c r="B31" s="595" t="s">
        <v>667</v>
      </c>
      <c r="C31" s="597">
        <v>2791477.1500000004</v>
      </c>
      <c r="D31" s="597">
        <f t="shared" ref="D31:E31" si="10">SUM(D32:D33)</f>
        <v>0</v>
      </c>
      <c r="E31" s="599">
        <f t="shared" si="10"/>
        <v>2791477.1500000004</v>
      </c>
    </row>
    <row r="32" spans="1:5">
      <c r="A32" s="587">
        <v>11.1</v>
      </c>
      <c r="B32" s="600" t="s">
        <v>668</v>
      </c>
      <c r="C32" s="589">
        <v>2377531.5300000003</v>
      </c>
      <c r="D32" s="597"/>
      <c r="E32" s="590">
        <f t="shared" ref="E32:E36" si="11">C32-D32</f>
        <v>2377531.5300000003</v>
      </c>
    </row>
    <row r="33" spans="1:5">
      <c r="A33" s="587">
        <v>11.2</v>
      </c>
      <c r="B33" s="600" t="s">
        <v>669</v>
      </c>
      <c r="C33" s="589">
        <v>413945.62</v>
      </c>
      <c r="D33" s="597"/>
      <c r="E33" s="590">
        <f t="shared" si="11"/>
        <v>413945.62</v>
      </c>
    </row>
    <row r="34" spans="1:5">
      <c r="A34" s="587">
        <v>13</v>
      </c>
      <c r="B34" s="595" t="s">
        <v>79</v>
      </c>
      <c r="C34" s="589">
        <v>11222314.086000003</v>
      </c>
      <c r="D34" s="597"/>
      <c r="E34" s="590">
        <f t="shared" si="11"/>
        <v>11222314.086000003</v>
      </c>
    </row>
    <row r="35" spans="1:5">
      <c r="A35" s="587">
        <v>13.1</v>
      </c>
      <c r="B35" s="601" t="s">
        <v>670</v>
      </c>
      <c r="C35" s="589">
        <v>3168298.3799999994</v>
      </c>
      <c r="D35" s="597"/>
      <c r="E35" s="590">
        <f t="shared" si="11"/>
        <v>3168298.3799999994</v>
      </c>
    </row>
    <row r="36" spans="1:5">
      <c r="A36" s="587">
        <v>13.2</v>
      </c>
      <c r="B36" s="601" t="s">
        <v>671</v>
      </c>
      <c r="C36" s="589">
        <v>0</v>
      </c>
      <c r="D36" s="597"/>
      <c r="E36" s="590">
        <f t="shared" si="11"/>
        <v>0</v>
      </c>
    </row>
    <row r="37" spans="1:5" ht="42" thickBot="1">
      <c r="A37" s="602"/>
      <c r="B37" s="189" t="s">
        <v>277</v>
      </c>
      <c r="C37" s="603">
        <f>SUM(C8,C12,C14,C15,C16,C20,C23,C24,C25,C28,C31,C34)</f>
        <v>678727933.18022501</v>
      </c>
      <c r="D37" s="603">
        <f t="shared" ref="D37" si="12">SUM(D8,D12,D14,D15,D16,D20,D23,D24,D25,D28,D31,D34)</f>
        <v>8980329.2199999988</v>
      </c>
      <c r="E37" s="604">
        <f>SUM(E8,E12,E14,E15,E16,E20,E23,E24,E25,E28,E31,E34)</f>
        <v>669747603.96022499</v>
      </c>
    </row>
    <row r="38" spans="1:5">
      <c r="C38" s="371"/>
      <c r="D38" s="371"/>
      <c r="E38" s="371"/>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9"/>
  <sheetViews>
    <sheetView zoomScale="70" zoomScaleNormal="70" workbookViewId="0">
      <pane xSplit="1" ySplit="4" topLeftCell="B5" activePane="bottomRight" state="frozen"/>
      <selection activeCell="C24" sqref="C24"/>
      <selection pane="topRight" activeCell="C24" sqref="C24"/>
      <selection pane="bottomLeft" activeCell="C24" sqref="C24"/>
      <selection pane="bottomRight" activeCell="C13" sqref="C13"/>
    </sheetView>
  </sheetViews>
  <sheetFormatPr defaultRowHeight="13.8" outlineLevelRow="1"/>
  <cols>
    <col min="1" max="1" width="12.6640625" style="9" customWidth="1"/>
    <col min="2" max="2" width="114.21875" style="9" customWidth="1"/>
    <col min="3" max="3" width="20.21875" style="9" customWidth="1"/>
    <col min="4" max="4" width="12.77734375" style="670" customWidth="1"/>
    <col min="5" max="16384" width="8.88671875" style="339"/>
  </cols>
  <sheetData>
    <row r="1" spans="1:4">
      <c r="A1" s="336" t="s">
        <v>869</v>
      </c>
      <c r="B1" s="338" t="str">
        <f>Info!C2</f>
        <v>კრისტალი</v>
      </c>
    </row>
    <row r="2" spans="1:4" s="334" customFormat="1" ht="15.75" customHeight="1">
      <c r="A2" s="336" t="s">
        <v>88</v>
      </c>
      <c r="B2" s="337">
        <f>'1. key ratios'!B2</f>
        <v>46112</v>
      </c>
      <c r="C2" s="9"/>
      <c r="D2" s="670"/>
    </row>
    <row r="3" spans="1:4" s="334" customFormat="1" ht="15.75" customHeight="1">
      <c r="C3" s="9"/>
      <c r="D3" s="670"/>
    </row>
    <row r="4" spans="1:4" s="334" customFormat="1" ht="28.2" thickBot="1">
      <c r="A4" s="334" t="s">
        <v>219</v>
      </c>
      <c r="B4" s="190" t="s">
        <v>139</v>
      </c>
      <c r="C4" s="585" t="s">
        <v>69</v>
      </c>
      <c r="D4" s="670"/>
    </row>
    <row r="5" spans="1:4" ht="27.6">
      <c r="A5" s="282">
        <v>1</v>
      </c>
      <c r="B5" s="624" t="s">
        <v>649</v>
      </c>
      <c r="C5" s="621">
        <v>669747603.96022499</v>
      </c>
    </row>
    <row r="6" spans="1:4">
      <c r="A6" s="191">
        <v>2.1</v>
      </c>
      <c r="B6" s="194" t="s">
        <v>772</v>
      </c>
      <c r="C6" s="686">
        <v>2432766.9082999914</v>
      </c>
    </row>
    <row r="7" spans="1:4" s="627" customFormat="1" ht="27.6" outlineLevel="1">
      <c r="A7" s="192">
        <v>2.2000000000000002</v>
      </c>
      <c r="B7" s="193" t="s">
        <v>773</v>
      </c>
      <c r="C7" s="626">
        <v>267221388.00000003</v>
      </c>
      <c r="D7" s="670"/>
    </row>
    <row r="8" spans="1:4" s="627" customFormat="1" ht="27.6">
      <c r="A8" s="192">
        <v>3</v>
      </c>
      <c r="B8" s="628" t="s">
        <v>650</v>
      </c>
      <c r="C8" s="622">
        <v>939401758.86852503</v>
      </c>
      <c r="D8" s="670"/>
    </row>
    <row r="9" spans="1:4">
      <c r="A9" s="191">
        <v>4</v>
      </c>
      <c r="B9" s="194" t="s">
        <v>137</v>
      </c>
      <c r="C9" s="625">
        <v>0</v>
      </c>
    </row>
    <row r="10" spans="1:4" s="627" customFormat="1" ht="27.6" outlineLevel="1">
      <c r="A10" s="192">
        <v>5.0999999999999996</v>
      </c>
      <c r="B10" s="193" t="s">
        <v>143</v>
      </c>
      <c r="C10" s="626">
        <v>-1844633.5485099931</v>
      </c>
      <c r="D10" s="670"/>
    </row>
    <row r="11" spans="1:4" s="627" customFormat="1" ht="27.6" outlineLevel="1">
      <c r="A11" s="192">
        <v>5.2</v>
      </c>
      <c r="B11" s="193" t="s">
        <v>144</v>
      </c>
      <c r="C11" s="685">
        <v>-263976465.04140589</v>
      </c>
      <c r="D11" s="670"/>
    </row>
    <row r="12" spans="1:4" s="627" customFormat="1">
      <c r="A12" s="192">
        <v>6</v>
      </c>
      <c r="B12" s="193" t="s">
        <v>940</v>
      </c>
      <c r="C12" s="625">
        <v>0</v>
      </c>
      <c r="D12" s="670"/>
    </row>
    <row r="13" spans="1:4" s="627" customFormat="1" ht="14.4" thickBot="1">
      <c r="A13" s="180">
        <v>7</v>
      </c>
      <c r="B13" s="629" t="s">
        <v>138</v>
      </c>
      <c r="C13" s="623">
        <v>673580660.27860916</v>
      </c>
      <c r="D13" s="670"/>
    </row>
    <row r="15" spans="1:4">
      <c r="B15" s="255"/>
    </row>
    <row r="17" spans="2:2">
      <c r="B17" s="8"/>
    </row>
    <row r="18" spans="2:2">
      <c r="B18" s="8"/>
    </row>
    <row r="19" spans="2:2">
      <c r="B19" s="8"/>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F4FB51B6-79FD-44F4-88DE-F306D9875A4F}">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2026-05-27T17:36:02Z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c79fde5e-736b-42ca-bc41-ddb220af6442</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